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385" activeTab="0"/>
  </bookViews>
  <sheets>
    <sheet name="ΣΤΕΓΑΣΗ" sheetId="1" r:id="rId1"/>
  </sheets>
  <definedNames>
    <definedName name="_xlnm.Print_Area" localSheetId="0">'ΣΤΕΓΑΣΗ'!$B$1:$AJ$138</definedName>
    <definedName name="_xlnm.Print_Titles" localSheetId="0">'ΣΤΕΓΑΣΗ'!$3:$3</definedName>
  </definedNames>
  <calcPr fullCalcOnLoad="1"/>
</workbook>
</file>

<file path=xl/sharedStrings.xml><?xml version="1.0" encoding="utf-8"?>
<sst xmlns="http://schemas.openxmlformats.org/spreadsheetml/2006/main" count="475" uniqueCount="259">
  <si>
    <t>Α/Α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</si>
  <si>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</si>
  <si>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</si>
  <si>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</si>
  <si>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</si>
  <si>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</si>
  <si>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</si>
  <si>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</si>
  <si>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ΕΚΚΑΘΑΡΙΣΤΙΚΟ ΣΗΜΕΙΩΜΑ ΤΟΥ ΤΡΕΧΟΝΤΟΣ ΕΤΟΥΣ (2012) ή Ε1 ΣΕ ΠΕΡΙΠΤΩΣΗ ΠΟΥ ΔΕΝ ΥΠΑΡΧΕΙ ΤΟ ΕΚΚΑΘ. ΓΙΑ ΤΟ ΟΙΚ.ΕΙΣΟΔΗΜΑ ΤΩΝ ΓΟΝΙΩΝ &amp; ΤΟ ΑΝΤΙΣΤΟΙΧΟ ΕΚΚ.ΣΗΜ. ΕΦΟΣΟΝ ΥΠΟΒΑΛΛΟΥΝ ΟΙ ΙΔΙΟΙ ΦΟΡ.ΔΗΛΩΣΗ</t>
  </si>
  <si>
    <t>ΦΩΤΟΤΥΠΙΑ ΑΣΤΥΝΟΜΙΚΗΣ ΤΑΥΤΟΤΗΤΑΣ ΕΠΙΚΥΡΩΜΕΝΗ ή ΠΙΣΤΟΠΟΙΗΤΙΚΟ ΓΕΝΝΗΣΗΣ ΑΠΌ ΤΟΝ ΟΙΚΕΙΟ ΔΗΜΟ</t>
  </si>
  <si>
    <t>ΠΟΛΥΤΕΚΝΟΙ (ΠΙΣΤΟΠΟΙΗΤΙΚΟ ΠΟΛΥΤΕΚΝΙΑΣ ΑΠΌ ΤΗΝ ΑΝΩΤΑΤΗ ΣΥΝΟΜΟΣΠΟΝΔΙΑ ΠΟΛΥΤΕΚΝΩΝ)</t>
  </si>
  <si>
    <t>ΑΔΕΛΦΟΣ/Η ΦΟΙΤΗΤΗΣ/ΤΡΙΑ (0 υπότροφο) ή ΣΤΡΑΤΙΩΤΗΣ, =&gt; ΒΕΒΑΙΩΣΗ ΤΜΗΜΑΤΟΣ Ή ΒΕΒ. ΌΤΙ ΥΠΗΡΕΤΕΙ ΤΗΝ ΣΤΡΑΤ.ΘΗΤΕΙΑ</t>
  </si>
  <si>
    <t>Ελεύθεροι επαγγελματίες &amp; Λοιπά εισοδήματα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</si>
  <si>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</si>
  <si>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</si>
  <si>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</si>
  <si>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</si>
  <si>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t>ΤΕΚΜΑΡΤΟ ΕΙΣΟΔΗΜΑ</t>
  </si>
  <si>
    <t xml:space="preserve">ΣΥΝΟΛΙΚΟ ΕΙΣΟΔΗΜΑ </t>
  </si>
  <si>
    <t>Α.Μ.</t>
  </si>
  <si>
    <t>ΛΠΜ</t>
  </si>
  <si>
    <t>ΤΓ</t>
  </si>
  <si>
    <t>ΙΩΑΝΝΙΝΑ</t>
  </si>
  <si>
    <t>ΑΘΗΝΑ</t>
  </si>
  <si>
    <t>ΜΠ</t>
  </si>
  <si>
    <t>ΧΑΝΙΑ</t>
  </si>
  <si>
    <t>ΚΟΝΙΤΣΑ</t>
  </si>
  <si>
    <t>ΠΛΑΓΙΑ ΚΟΝΙΤΣΑΣ</t>
  </si>
  <si>
    <t>ΜΟΝΕΜΒΑΣΙΑ</t>
  </si>
  <si>
    <t>ΘΕΣΣΑΛΟΝΙΚΗ</t>
  </si>
  <si>
    <t>Εισόδημα αγροτών (ΜΕΙΩΣΗ 15%)</t>
  </si>
  <si>
    <t>ΧΑΝΑΚΙΑ ΠΥΡΓΟΥ ΗΛΙΑΣ</t>
  </si>
  <si>
    <t xml:space="preserve">ΑΡΓΟΣ </t>
  </si>
  <si>
    <t>ΦΑΡΣΑΛΑ</t>
  </si>
  <si>
    <t>ΚΡΑΝΟΥΛΑ ΙΩΑΝΝΙΝΩΝ</t>
  </si>
  <si>
    <t>ΑΓΡΙΝΙΟ</t>
  </si>
  <si>
    <t>ΝΙΚΑΙΑ</t>
  </si>
  <si>
    <t>ΑΜΟΡΓΟΣ</t>
  </si>
  <si>
    <t>ΚΑΡΔΙΤΣΑ</t>
  </si>
  <si>
    <t>ΠΑΤΡΑ</t>
  </si>
  <si>
    <t>ΤΡΙΚΑΛΑ</t>
  </si>
  <si>
    <t>ΚΑΒΑΛΑ</t>
  </si>
  <si>
    <t>ΕΛΑΣΣΟΝΑ</t>
  </si>
  <si>
    <t>ΠΡΕΒΕΖΑ</t>
  </si>
  <si>
    <t>I1388</t>
  </si>
  <si>
    <t>Διδακτικές μονάδες που έχει συμπληρώσει ή ποσοστό μαθημάτων</t>
  </si>
  <si>
    <t>Ι1367</t>
  </si>
  <si>
    <t>ΚΟΜΟΤΗΝΗ</t>
  </si>
  <si>
    <t>ΡΑΧΟΥΛΑ ΚΑΡΔΙΤΣΑΣ</t>
  </si>
  <si>
    <t>ΑΙΤΩΛΙΚΟ</t>
  </si>
  <si>
    <t>ΚΑΤΣΙΚΑ ΙΩΑΝΝΙΝΩΝ</t>
  </si>
  <si>
    <t>ΚΑΛΛΙΘΕΑ ΑΤΤΙΚΗ</t>
  </si>
  <si>
    <t>ΠΑΝΑΙΤΩΛΙΟ ΑΙΤ/ΝΙΑΣ</t>
  </si>
  <si>
    <t>ΔΟΛΙΑΝΑ ΙΩΑΝΝΙΝΩΝ</t>
  </si>
  <si>
    <t>ΜΥΤΙΛΗΝΗ</t>
  </si>
  <si>
    <t>ΑΛΒΑΝΙΑ</t>
  </si>
  <si>
    <t>ΚΕΦΑΛΟΝΙΑ</t>
  </si>
  <si>
    <t>Εισόδημα από Μισθωτές Υπηρεσίες Γονέων (Δημόσιο και ιδιωτικό τομέα και συνταξιούχων &amp; ταμείο ανεργίας) (ΜEIΩΣΗ 50%)</t>
  </si>
  <si>
    <t>ΚΕΦΑΛΑ ΝΙΚΟΛΕΤΑ-ΑΓΓΕΛΙΚΗ</t>
  </si>
  <si>
    <t>1246/16.09.14</t>
  </si>
  <si>
    <t>ΑΓΙΟ ΠΝΕΥΜΑ ΣΕΡΡΩΝ</t>
  </si>
  <si>
    <t>ΓΚΟΥΛΙΑΜΤΖΗΣ ΧΑΡΑΛΑΜΠΟΣ</t>
  </si>
  <si>
    <t>1372/22.09.14</t>
  </si>
  <si>
    <t>ΑΓΙΟΣ ΟΝΟΥΦΡΙΟΣ ΒΟΛΟΣ</t>
  </si>
  <si>
    <t>ΠΛΑΤΥ ΗΜΑΘΕΙΑΣ</t>
  </si>
  <si>
    <t>ΛΕΥΚΑΔΑ</t>
  </si>
  <si>
    <t>ΜΑΖΙ ΚΟΝΙΤΣΑΣ ΙΩΑΝΝΙΝΩΝ</t>
  </si>
  <si>
    <t>ΚΑΤΟΥΝΑ</t>
  </si>
  <si>
    <t>ΚΙΛΚΙΣ</t>
  </si>
  <si>
    <t>ΜΑΡΟΥΣΙ</t>
  </si>
  <si>
    <t>ΛΑΜΙΑ</t>
  </si>
  <si>
    <t>ΠΟΛΥΛΟΦΟΣ ΙΩΑΝΝΙΝΑ</t>
  </si>
  <si>
    <t>ΚΕΑ ΚΥΚΛΑΔΕΣ</t>
  </si>
  <si>
    <t>Ν. ΜΑΚΡΗ ΑΤΤΙΚΗΣ</t>
  </si>
  <si>
    <t>ΜΑΖΑΡΑΚΑΤΑ ΚΕΦΑΛΟΝΑΙΣ</t>
  </si>
  <si>
    <t>ΑΛΙΜΟΣ ΑΘΗΝΑ</t>
  </si>
  <si>
    <t>ΚΑΣΤΟΡΙΑ</t>
  </si>
  <si>
    <t>ΠΤΟΛΕΜΑΪΔΑ</t>
  </si>
  <si>
    <t>ΚΑΡΑΤΟΥΛΑ ΗΛΕΙΑΣ</t>
  </si>
  <si>
    <t>ΦΩΚΙΔΑ</t>
  </si>
  <si>
    <t>ΠΑΡΑΒΟΛΑ ΑΓΡΙΝΙΟΥ</t>
  </si>
  <si>
    <t>ΣΕΡΡΕΣ</t>
  </si>
  <si>
    <t>ΓΑΒΑΛΟΥ ΑΙΤ/ΝΙΑΣ</t>
  </si>
  <si>
    <t>ΑΡΓΟΣΤΟΛΙ</t>
  </si>
  <si>
    <t>ΛΙΒΑΔΕΙΑ</t>
  </si>
  <si>
    <t>ΠΥΡΓΟΣ ΣΑΜΟΥ</t>
  </si>
  <si>
    <t>ΣΑΓΕΪΚΑ ΑΧΑΪΑΣ</t>
  </si>
  <si>
    <t>ΑΤΤΙΚΗ</t>
  </si>
  <si>
    <t>ΚΑΛΑΜΑΡΙΑ</t>
  </si>
  <si>
    <t>ΒΕΛΒΕΝΤΟ ΚΟΖΑΝΗΣ</t>
  </si>
  <si>
    <t>ΔΡΑΜΑ</t>
  </si>
  <si>
    <t>ΧΙΟΣ</t>
  </si>
  <si>
    <t>ΣΚΥΔΡΑ ΕΔΕΣΣΑΣ</t>
  </si>
  <si>
    <t>ΓΥΜΝΟ ΕΥΒΟΙΑΣ</t>
  </si>
  <si>
    <t>ΚΑΒΑΣΙΛΑ ΗΛΕΙΑΣ</t>
  </si>
  <si>
    <t>ΠΟΥΛΙΤΣΑ ΚΟΡΙΝΘΙΑΣ</t>
  </si>
  <si>
    <t>ΣΤΑΥΡΑΚΙ ΙΩΑΝΝΙΝΩΝ</t>
  </si>
  <si>
    <t>ΚΕΡΚΥΡΑ</t>
  </si>
  <si>
    <t>ΜΑΛΑΜΑΤΑ ΦΩΚΙΔΑΣ</t>
  </si>
  <si>
    <t>ΚΟΥΤΣΕΛΙΟ ΙΩΑΝΝΙΝΩΝ</t>
  </si>
  <si>
    <t>ΚΑΡΠΑΘΟΣ</t>
  </si>
  <si>
    <t>ΠΕΔΙΝΗ ΙΩΑΝΝΙΝΩΝ</t>
  </si>
  <si>
    <t>ΙΩΑΝΝΙΝΑ-ΣΤΑΥΡΑΚΙ</t>
  </si>
  <si>
    <t>ΑΡΓΥΡΑΔΕΣ ΚΕΡΚΥΡΑΣ</t>
  </si>
  <si>
    <t>585/30.06.16</t>
  </si>
  <si>
    <t>680/04.07.16</t>
  </si>
  <si>
    <t>697/05.07.16</t>
  </si>
  <si>
    <t>423/17.06.16</t>
  </si>
  <si>
    <t>683/04.07.16</t>
  </si>
  <si>
    <t>705/05.07.16</t>
  </si>
  <si>
    <t>590/30.06.16</t>
  </si>
  <si>
    <t>726/06.07.16</t>
  </si>
  <si>
    <t>699/05.07.16</t>
  </si>
  <si>
    <t>731/06.07.16</t>
  </si>
  <si>
    <t>732/06.07.16</t>
  </si>
  <si>
    <t>734/06.07.16</t>
  </si>
  <si>
    <t>730/06.07.16</t>
  </si>
  <si>
    <t>685/04.07.16</t>
  </si>
  <si>
    <t>679/04.07.16</t>
  </si>
  <si>
    <t>668/04.07.16</t>
  </si>
  <si>
    <t>647/01.07.16</t>
  </si>
  <si>
    <t>651/01.07.16</t>
  </si>
  <si>
    <t>600/30.06.16</t>
  </si>
  <si>
    <t>582/30.06.16</t>
  </si>
  <si>
    <t>496/28.06.16</t>
  </si>
  <si>
    <t>413/15.06.16</t>
  </si>
  <si>
    <t>470/27.06.16</t>
  </si>
  <si>
    <t>487/27.06.16</t>
  </si>
  <si>
    <t>617/30.06.16</t>
  </si>
  <si>
    <t>501/28.06.16</t>
  </si>
  <si>
    <t>796/13.07.16</t>
  </si>
  <si>
    <t>504/28.06.16</t>
  </si>
  <si>
    <t>801/13.07.16</t>
  </si>
  <si>
    <t>387/09.06.16</t>
  </si>
  <si>
    <t>392/10.06.16</t>
  </si>
  <si>
    <t>446/23.06.16</t>
  </si>
  <si>
    <t>609/30.06.16</t>
  </si>
  <si>
    <t>503/28.06.16</t>
  </si>
  <si>
    <t>447/23.06.16</t>
  </si>
  <si>
    <t>396/10.06.16</t>
  </si>
  <si>
    <t>514/28.06.16</t>
  </si>
  <si>
    <t>527/28.06.16</t>
  </si>
  <si>
    <t>594/30.06.16</t>
  </si>
  <si>
    <t>426/17.06.16</t>
  </si>
  <si>
    <t>588/30.06.16</t>
  </si>
  <si>
    <t>453/23.06.16</t>
  </si>
  <si>
    <t>497/28.06.16</t>
  </si>
  <si>
    <t>397/13.06.16</t>
  </si>
  <si>
    <t>591/30.06.16</t>
  </si>
  <si>
    <t>454/23.06.16</t>
  </si>
  <si>
    <t>482/27.06.16</t>
  </si>
  <si>
    <t>586/30.06.16</t>
  </si>
  <si>
    <t>442/22.06.16</t>
  </si>
  <si>
    <t>495/28.06.16</t>
  </si>
  <si>
    <t>ΕΒΡΟΣ</t>
  </si>
  <si>
    <t>618/01.07.16</t>
  </si>
  <si>
    <t>511/28.06.16</t>
  </si>
  <si>
    <t>379/03.06.16</t>
  </si>
  <si>
    <t xml:space="preserve">ΑΝΩ ΚΑΛΕΝΤΙΝΗ </t>
  </si>
  <si>
    <t>508/28.06.16</t>
  </si>
  <si>
    <t>393/10.06.16</t>
  </si>
  <si>
    <t>587/30.09.16</t>
  </si>
  <si>
    <t>419/16.06.16</t>
  </si>
  <si>
    <t>417/16.06.16</t>
  </si>
  <si>
    <t>415/15.06.16</t>
  </si>
  <si>
    <t>388/09.06.16</t>
  </si>
  <si>
    <t>451/23.06.16</t>
  </si>
  <si>
    <t>377/03.06.16</t>
  </si>
  <si>
    <t>580/30.06.16</t>
  </si>
  <si>
    <t>407/14.06.16</t>
  </si>
  <si>
    <t>546/29.06.16</t>
  </si>
  <si>
    <t>445/23.06.16</t>
  </si>
  <si>
    <t>581/30.06.16</t>
  </si>
  <si>
    <t>579/30.06.16</t>
  </si>
  <si>
    <t>494/27.06.16</t>
  </si>
  <si>
    <t>526/28.06.16</t>
  </si>
  <si>
    <t>640/01.07.16</t>
  </si>
  <si>
    <t>641/01.07.16</t>
  </si>
  <si>
    <t>602/30.06.16</t>
  </si>
  <si>
    <t>438/22.06.16</t>
  </si>
  <si>
    <t>515/28.06.16</t>
  </si>
  <si>
    <t>456/24.06.16</t>
  </si>
  <si>
    <t>577/29.06.16</t>
  </si>
  <si>
    <t>449/23.06.16</t>
  </si>
  <si>
    <t>499/28.06.16</t>
  </si>
  <si>
    <t>620/01.07.16</t>
  </si>
  <si>
    <t>566/29.06.16</t>
  </si>
  <si>
    <t>543/29.06.16</t>
  </si>
  <si>
    <t>404/14.06.16</t>
  </si>
  <si>
    <t>561/29.06.16</t>
  </si>
  <si>
    <t>402/14.06.16</t>
  </si>
  <si>
    <t>475/27.06.16</t>
  </si>
  <si>
    <t>484/27.06.16</t>
  </si>
  <si>
    <t>462/27.06.16</t>
  </si>
  <si>
    <t>389/09.06.16</t>
  </si>
  <si>
    <t>548/29.06.16</t>
  </si>
  <si>
    <t>436/22.06.16</t>
  </si>
  <si>
    <t>621/30.06.16</t>
  </si>
  <si>
    <t>450/23.06.16</t>
  </si>
  <si>
    <t>544/29.06.16</t>
  </si>
  <si>
    <t>541/29.06.16</t>
  </si>
  <si>
    <t>542/29.06.16</t>
  </si>
  <si>
    <t>570/29.06.16</t>
  </si>
  <si>
    <t>443/22.06.16</t>
  </si>
  <si>
    <t>565/29.06.16</t>
  </si>
  <si>
    <t>632/01.07.16</t>
  </si>
  <si>
    <t>630/01.07.16</t>
  </si>
  <si>
    <t>430/21.06.16</t>
  </si>
  <si>
    <t xml:space="preserve">ΜΕΣΟΠΥΡΓΟΣ </t>
  </si>
  <si>
    <t xml:space="preserve">ΛΕΠΙΑΝΑ </t>
  </si>
  <si>
    <t>459/24.06.16</t>
  </si>
  <si>
    <t>408/15.06.16</t>
  </si>
  <si>
    <t>403/14.06.16</t>
  </si>
  <si>
    <t>572/29.06.16</t>
  </si>
  <si>
    <t>469/27.06.16</t>
  </si>
  <si>
    <t>437/22.06.16</t>
  </si>
  <si>
    <t>567/29.06.16</t>
  </si>
  <si>
    <t>381/06.06.16</t>
  </si>
  <si>
    <t>431/21.06.16</t>
  </si>
  <si>
    <t>555/29.06.16</t>
  </si>
  <si>
    <t>627/01.07.16</t>
  </si>
  <si>
    <t>631/01.07.16</t>
  </si>
  <si>
    <t>584/30.06.16</t>
  </si>
  <si>
    <t>553/29.06.16</t>
  </si>
  <si>
    <t>560/29.06.16</t>
  </si>
  <si>
    <t>439/22.06.16</t>
  </si>
  <si>
    <t>489/27.06.16</t>
  </si>
  <si>
    <t>467/27.06.16</t>
  </si>
  <si>
    <t>457/24.06.16</t>
  </si>
  <si>
    <t>540/29.06.16</t>
  </si>
  <si>
    <t>559/29.06.16</t>
  </si>
  <si>
    <t>595/30.06.16</t>
  </si>
  <si>
    <t>531/29.06.16</t>
  </si>
  <si>
    <t>ΜΑΡΚΑΤΕΣ ΓΟΡΓΟΜΥΛΟΣ</t>
  </si>
  <si>
    <t>441/22.06.16</t>
  </si>
  <si>
    <t>ΗΡΑΚΛΕΙΟ ΚΡΗΤΗΣ</t>
  </si>
  <si>
    <t>568/29.06.16</t>
  </si>
  <si>
    <t>395/10.06.16</t>
  </si>
  <si>
    <t>411/15.06.16</t>
  </si>
  <si>
    <t>464/27.06.16</t>
  </si>
  <si>
    <t>ΑΝΑΤΟΛΗ ΙΩΑΝΝΙΝΩΝ</t>
  </si>
  <si>
    <t>ΕΑΡΙΝΟ ΜΟΝΟ</t>
  </si>
  <si>
    <t>ΕΙΣΑΚΤΕΟΙ</t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</si>
  <si>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αδέρφια &lt;24 ή των  &lt;28 αν σπουδάζουν)</t>
    </r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</si>
  <si>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</si>
  <si>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</si>
  <si>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t>ΛΟΓΟΙ ΥΓΕΙΑΣ Ή ΑΝΑΠΗΡΙΑΣ Γονέων (ΒΕΒΑΙΩΣΗ ΑΠΌ ΑΡΜΟΔΙΑ ΔΗΜΟΣΙΑ ΥΓΕΙΟΝΟΜΙΚΗ ΕΠΙΤΡΟΠΗ (Α΄ή Β βαθμια - αν ισχύουν δίνετε τιμή 1)</t>
  </si>
  <si>
    <t>Εκπτώσεις από σπουδές ή στρατ. Θητεία Αδερφών στο κατακεφαλή εισόδημα (30%)</t>
  </si>
  <si>
    <t>Εκπτώσεις από ορφανός από 1 γονέα στο κατακεφαλή εισόδημα (20%)</t>
  </si>
  <si>
    <t>Εκπτώσεις από μονογονεική κατακεφαλή εισόδημα (10%)</t>
  </si>
  <si>
    <t>Εκπτώσεις από αναπηρία γονέων &gt; 67% στο κατακεφαλή εισόδημα (30%)</t>
  </si>
  <si>
    <t>Εκπτώσεις από άνεργο στο κατακεφαλή εισόδημα (30%)</t>
  </si>
  <si>
    <t>ΑΠΟΡΡΙΦΘΕΝΤΕΣ</t>
  </si>
  <si>
    <t>δεν πληροί την προϋπόθεση της παρ. 1θ του άρθρου 5 του Κανονισμού Λειτουργίας Φ. Εστιών ΤΕΙ Ηπείρου</t>
  </si>
  <si>
    <t>δεν πληροί τις προϋποθέσεις των παρ. 1δ και 1θ του άρθρου 5 του Κανονισμού Λειτουργίας Φ. Εστιών ΤΕΙ Ηπείρου</t>
  </si>
  <si>
    <t>δεν πληροί την προϋπόθεση της παρ. 1δ του άρθρου 5 του Κανονισμού Λειτουργίας Φ. Εστιών ΤΕΙ Ηπείρου</t>
  </si>
  <si>
    <t>Εκπρόθεσμη και δεν πληροί την προϋπόθεση της παρ. 1θ του άρθρου 5 του Κανονισμού Λειτουργίας Φ. Εστιών ΤΕΙ Ηπείρου</t>
  </si>
  <si>
    <t>Αναστολή σπουδών 2 έτη, δεν πληροί την προϋπόθεση της παρ. 1ε του άρθρου 5 του Κανονισμού Λειτουργίας Φ. Εστιών ΤΕΙ Ηπείρου</t>
  </si>
  <si>
    <t xml:space="preserve">ΚΑΤΑΣΤΑΣΗ ΣΤΕΓΑΣΗΣ Φοιτητών  ΠΑΛΑΙΩΝ Εξ. ΤΕΙ ΗΠΕΙΡΟΥ ΣΤΗΝ ΑΡΤΑ ΑΚΑΔΗΜΑΪΚΟΥ ΕΤΟΥΣ 2016-2017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</si>
</sst>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#,##0.000"/>
    <numFmt numFmtId="167" formatCode="#,##0.0"/>
    <numFmt numFmtId="168" formatCode="0.000"/>
    <numFmt numFmtId="169" formatCode="0.0000"/>
    <numFmt numFmtId="170" formatCode="[$-408]dddd\,\ d\ mmmm\ yyyy"/>
    <numFmt numFmtId="171" formatCode="0.000%"/>
    <numFmt numFmtId="172" formatCode="0.0%"/>
    <numFmt numFmtId="173" formatCode="[$-408]h:mm:ss\ AM/PM"/>
    <numFmt numFmtId="174" formatCode="0.0"/>
  </numFmts>
  <fonts count="7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sz val="8"/>
      <name val="Arial"/>
      <family val="2"/>
    </font>
    <font>
      <b/>
      <sz val="14"/>
      <color indexed="49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0"/>
      <name val="Arial"/>
      <family val="2"/>
    </font>
    <font>
      <b/>
      <sz val="12"/>
      <color indexed="40"/>
      <name val="Arial"/>
      <family val="2"/>
    </font>
    <font>
      <sz val="12"/>
      <color indexed="40"/>
      <name val="Arial"/>
      <family val="2"/>
    </font>
    <font>
      <b/>
      <sz val="14"/>
      <color indexed="40"/>
      <name val="Arial"/>
      <family val="2"/>
    </font>
    <font>
      <sz val="14"/>
      <color indexed="4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51"/>
      <name val="Arial"/>
      <family val="2"/>
    </font>
    <font>
      <b/>
      <sz val="12"/>
      <color indexed="51"/>
      <name val="Arial"/>
      <family val="2"/>
    </font>
    <font>
      <sz val="14"/>
      <color indexed="51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FF0000"/>
      <name val="Arial"/>
      <family val="2"/>
    </font>
    <font>
      <b/>
      <sz val="12"/>
      <color rgb="FF00B0F0"/>
      <name val="Arial"/>
      <family val="2"/>
    </font>
    <font>
      <sz val="12"/>
      <color rgb="FF00B0F0"/>
      <name val="Arial"/>
      <family val="2"/>
    </font>
    <font>
      <b/>
      <sz val="14"/>
      <color rgb="FF00B0F0"/>
      <name val="Arial"/>
      <family val="2"/>
    </font>
    <font>
      <sz val="14"/>
      <color rgb="FF00B0F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C000"/>
      <name val="Arial"/>
      <family val="2"/>
    </font>
    <font>
      <b/>
      <sz val="12"/>
      <color rgb="FFFFC000"/>
      <name val="Arial"/>
      <family val="2"/>
    </font>
    <font>
      <sz val="14"/>
      <color rgb="FFFFC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0" borderId="2" applyNumberFormat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7" borderId="1" applyNumberFormat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textRotation="90"/>
    </xf>
    <xf numFmtId="0" fontId="5" fillId="32" borderId="11" xfId="0" applyFont="1" applyFill="1" applyBorder="1" applyAlignment="1">
      <alignment horizontal="center" vertical="center" textRotation="90" wrapText="1"/>
    </xf>
    <xf numFmtId="0" fontId="7" fillId="32" borderId="12" xfId="0" applyFont="1" applyFill="1" applyBorder="1" applyAlignment="1">
      <alignment horizontal="center" vertical="center" textRotation="90" wrapText="1"/>
    </xf>
    <xf numFmtId="0" fontId="8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7" fillId="32" borderId="14" xfId="0" applyFont="1" applyFill="1" applyBorder="1" applyAlignment="1">
      <alignment horizontal="center" textRotation="90" wrapText="1"/>
    </xf>
    <xf numFmtId="0" fontId="7" fillId="34" borderId="1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5" fillId="32" borderId="11" xfId="0" applyFont="1" applyFill="1" applyBorder="1" applyAlignment="1">
      <alignment horizontal="right" vertical="center"/>
    </xf>
    <xf numFmtId="0" fontId="63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wrapText="1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 horizontal="center"/>
    </xf>
    <xf numFmtId="0" fontId="66" fillId="0" borderId="10" xfId="0" applyFont="1" applyBorder="1" applyAlignment="1">
      <alignment horizontal="center"/>
    </xf>
    <xf numFmtId="0" fontId="64" fillId="0" borderId="11" xfId="0" applyFont="1" applyFill="1" applyBorder="1" applyAlignment="1">
      <alignment/>
    </xf>
    <xf numFmtId="0" fontId="66" fillId="35" borderId="10" xfId="0" applyFont="1" applyFill="1" applyBorder="1" applyAlignment="1">
      <alignment horizontal="center"/>
    </xf>
    <xf numFmtId="0" fontId="64" fillId="0" borderId="11" xfId="0" applyFont="1" applyBorder="1" applyAlignment="1">
      <alignment/>
    </xf>
    <xf numFmtId="0" fontId="67" fillId="0" borderId="0" xfId="0" applyFont="1" applyFill="1" applyAlignment="1">
      <alignment/>
    </xf>
    <xf numFmtId="0" fontId="66" fillId="10" borderId="10" xfId="0" applyFont="1" applyFill="1" applyBorder="1" applyAlignment="1">
      <alignment horizontal="center"/>
    </xf>
    <xf numFmtId="0" fontId="66" fillId="10" borderId="0" xfId="0" applyFont="1" applyFill="1" applyAlignment="1">
      <alignment/>
    </xf>
    <xf numFmtId="0" fontId="68" fillId="0" borderId="10" xfId="0" applyFont="1" applyBorder="1" applyAlignment="1">
      <alignment horizontal="center"/>
    </xf>
    <xf numFmtId="2" fontId="63" fillId="0" borderId="11" xfId="0" applyNumberFormat="1" applyFont="1" applyFill="1" applyBorder="1" applyAlignment="1">
      <alignment wrapText="1"/>
    </xf>
    <xf numFmtId="174" fontId="63" fillId="0" borderId="11" xfId="0" applyNumberFormat="1" applyFont="1" applyFill="1" applyBorder="1" applyAlignment="1">
      <alignment horizontal="right" wrapText="1"/>
    </xf>
    <xf numFmtId="0" fontId="63" fillId="0" borderId="11" xfId="0" applyFont="1" applyFill="1" applyBorder="1" applyAlignment="1">
      <alignment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0" fontId="71" fillId="0" borderId="11" xfId="0" applyFont="1" applyFill="1" applyBorder="1" applyAlignment="1">
      <alignment wrapText="1"/>
    </xf>
    <xf numFmtId="0" fontId="70" fillId="0" borderId="0" xfId="0" applyFont="1" applyAlignment="1">
      <alignment/>
    </xf>
    <xf numFmtId="0" fontId="72" fillId="0" borderId="0" xfId="0" applyFont="1" applyAlignment="1">
      <alignment/>
    </xf>
    <xf numFmtId="0" fontId="67" fillId="10" borderId="0" xfId="0" applyFont="1" applyFill="1" applyAlignment="1">
      <alignment/>
    </xf>
    <xf numFmtId="174" fontId="63" fillId="0" borderId="11" xfId="0" applyNumberFormat="1" applyFont="1" applyBorder="1" applyAlignment="1">
      <alignment horizontal="right"/>
    </xf>
    <xf numFmtId="0" fontId="63" fillId="0" borderId="11" xfId="0" applyFont="1" applyBorder="1" applyAlignment="1">
      <alignment/>
    </xf>
    <xf numFmtId="8" fontId="67" fillId="0" borderId="0" xfId="0" applyNumberFormat="1" applyFont="1" applyFill="1" applyAlignment="1">
      <alignment/>
    </xf>
    <xf numFmtId="0" fontId="63" fillId="0" borderId="11" xfId="0" applyFont="1" applyFill="1" applyBorder="1" applyAlignment="1">
      <alignment horizontal="center" wrapText="1"/>
    </xf>
    <xf numFmtId="0" fontId="69" fillId="0" borderId="0" xfId="0" applyFont="1" applyAlignment="1">
      <alignment horizontal="center"/>
    </xf>
    <xf numFmtId="0" fontId="63" fillId="0" borderId="11" xfId="0" applyFont="1" applyBorder="1" applyAlignment="1">
      <alignment horizontal="center" wrapText="1"/>
    </xf>
    <xf numFmtId="0" fontId="69" fillId="0" borderId="0" xfId="0" applyFont="1" applyFill="1" applyAlignment="1">
      <alignment/>
    </xf>
    <xf numFmtId="174" fontId="63" fillId="0" borderId="11" xfId="0" applyNumberFormat="1" applyFont="1" applyFill="1" applyBorder="1" applyAlignment="1">
      <alignment horizontal="right"/>
    </xf>
    <xf numFmtId="0" fontId="69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8" fillId="35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 wrapText="1"/>
    </xf>
    <xf numFmtId="0" fontId="73" fillId="0" borderId="0" xfId="0" applyFont="1" applyFill="1" applyAlignment="1">
      <alignment/>
    </xf>
    <xf numFmtId="0" fontId="71" fillId="0" borderId="11" xfId="0" applyFont="1" applyFill="1" applyBorder="1" applyAlignment="1">
      <alignment/>
    </xf>
    <xf numFmtId="0" fontId="63" fillId="0" borderId="11" xfId="0" applyFont="1" applyFill="1" applyBorder="1" applyAlignment="1">
      <alignment horizontal="left" wrapText="1"/>
    </xf>
    <xf numFmtId="4" fontId="74" fillId="0" borderId="11" xfId="0" applyNumberFormat="1" applyFont="1" applyFill="1" applyBorder="1" applyAlignment="1">
      <alignment/>
    </xf>
    <xf numFmtId="0" fontId="74" fillId="0" borderId="11" xfId="0" applyFont="1" applyFill="1" applyBorder="1" applyAlignment="1">
      <alignment horizontal="center" wrapText="1"/>
    </xf>
    <xf numFmtId="2" fontId="63" fillId="0" borderId="12" xfId="0" applyNumberFormat="1" applyFont="1" applyBorder="1" applyAlignment="1">
      <alignment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 horizontal="right" wrapText="1"/>
    </xf>
    <xf numFmtId="165" fontId="10" fillId="34" borderId="11" xfId="0" applyNumberFormat="1" applyFont="1" applyFill="1" applyBorder="1" applyAlignment="1">
      <alignment horizontal="right" wrapText="1"/>
    </xf>
    <xf numFmtId="2" fontId="10" fillId="0" borderId="11" xfId="0" applyNumberFormat="1" applyFont="1" applyFill="1" applyBorder="1" applyAlignment="1">
      <alignment wrapText="1"/>
    </xf>
    <xf numFmtId="174" fontId="10" fillId="0" borderId="11" xfId="0" applyNumberFormat="1" applyFont="1" applyBorder="1" applyAlignment="1">
      <alignment horizontal="right"/>
    </xf>
    <xf numFmtId="164" fontId="10" fillId="0" borderId="11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165" fontId="10" fillId="0" borderId="11" xfId="0" applyNumberFormat="1" applyFont="1" applyFill="1" applyBorder="1" applyAlignment="1">
      <alignment wrapText="1"/>
    </xf>
    <xf numFmtId="174" fontId="10" fillId="0" borderId="11" xfId="0" applyNumberFormat="1" applyFont="1" applyFill="1" applyBorder="1" applyAlignment="1">
      <alignment horizontal="right" wrapText="1"/>
    </xf>
    <xf numFmtId="165" fontId="10" fillId="34" borderId="11" xfId="0" applyNumberFormat="1" applyFont="1" applyFill="1" applyBorder="1" applyAlignment="1">
      <alignment wrapText="1"/>
    </xf>
    <xf numFmtId="164" fontId="12" fillId="0" borderId="11" xfId="0" applyNumberFormat="1" applyFont="1" applyFill="1" applyBorder="1" applyAlignment="1">
      <alignment wrapText="1"/>
    </xf>
    <xf numFmtId="164" fontId="10" fillId="0" borderId="11" xfId="0" applyNumberFormat="1" applyFont="1" applyFill="1" applyBorder="1" applyAlignment="1">
      <alignment/>
    </xf>
    <xf numFmtId="174" fontId="10" fillId="0" borderId="11" xfId="0" applyNumberFormat="1" applyFont="1" applyFill="1" applyBorder="1" applyAlignment="1">
      <alignment horizontal="right"/>
    </xf>
    <xf numFmtId="164" fontId="13" fillId="0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wrapText="1"/>
    </xf>
    <xf numFmtId="4" fontId="13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64" fontId="10" fillId="0" borderId="12" xfId="0" applyNumberFormat="1" applyFont="1" applyFill="1" applyBorder="1" applyAlignment="1">
      <alignment wrapText="1"/>
    </xf>
    <xf numFmtId="3" fontId="13" fillId="0" borderId="11" xfId="0" applyNumberFormat="1" applyFont="1" applyFill="1" applyBorder="1" applyAlignment="1">
      <alignment wrapText="1"/>
    </xf>
    <xf numFmtId="0" fontId="13" fillId="0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right" wrapText="1"/>
    </xf>
    <xf numFmtId="0" fontId="10" fillId="0" borderId="11" xfId="0" applyFont="1" applyBorder="1" applyAlignment="1">
      <alignment horizontal="right"/>
    </xf>
    <xf numFmtId="165" fontId="10" fillId="0" borderId="11" xfId="0" applyNumberFormat="1" applyFont="1" applyBorder="1" applyAlignment="1">
      <alignment horizontal="right" wrapText="1"/>
    </xf>
    <xf numFmtId="2" fontId="10" fillId="0" borderId="11" xfId="0" applyNumberFormat="1" applyFont="1" applyBorder="1" applyAlignment="1">
      <alignment wrapText="1"/>
    </xf>
    <xf numFmtId="0" fontId="7" fillId="0" borderId="11" xfId="0" applyFont="1" applyFill="1" applyBorder="1" applyAlignment="1">
      <alignment/>
    </xf>
    <xf numFmtId="4" fontId="14" fillId="0" borderId="11" xfId="0" applyNumberFormat="1" applyFont="1" applyFill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165" fontId="10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/>
    </xf>
    <xf numFmtId="2" fontId="10" fillId="0" borderId="12" xfId="0" applyNumberFormat="1" applyFont="1" applyFill="1" applyBorder="1" applyAlignment="1">
      <alignment wrapText="1"/>
    </xf>
    <xf numFmtId="174" fontId="10" fillId="0" borderId="16" xfId="0" applyNumberFormat="1" applyFont="1" applyBorder="1" applyAlignment="1">
      <alignment horizontal="right"/>
    </xf>
    <xf numFmtId="164" fontId="10" fillId="0" borderId="17" xfId="0" applyNumberFormat="1" applyFont="1" applyFill="1" applyBorder="1" applyAlignment="1">
      <alignment wrapText="1"/>
    </xf>
    <xf numFmtId="0" fontId="10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" fontId="10" fillId="0" borderId="12" xfId="0" applyNumberFormat="1" applyFont="1" applyBorder="1" applyAlignment="1">
      <alignment wrapText="1"/>
    </xf>
    <xf numFmtId="174" fontId="10" fillId="0" borderId="18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174" fontId="10" fillId="0" borderId="18" xfId="0" applyNumberFormat="1" applyFont="1" applyFill="1" applyBorder="1" applyAlignment="1">
      <alignment horizontal="right" wrapText="1"/>
    </xf>
    <xf numFmtId="4" fontId="13" fillId="0" borderId="17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wrapText="1"/>
    </xf>
    <xf numFmtId="174" fontId="10" fillId="0" borderId="19" xfId="0" applyNumberFormat="1" applyFont="1" applyBorder="1" applyAlignment="1">
      <alignment horizontal="right"/>
    </xf>
    <xf numFmtId="164" fontId="13" fillId="0" borderId="17" xfId="0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174" fontId="10" fillId="0" borderId="15" xfId="0" applyNumberFormat="1" applyFont="1" applyBorder="1" applyAlignment="1">
      <alignment horizontal="right"/>
    </xf>
    <xf numFmtId="174" fontId="10" fillId="0" borderId="15" xfId="0" applyNumberFormat="1" applyFont="1" applyFill="1" applyBorder="1" applyAlignment="1">
      <alignment horizontal="right" wrapText="1"/>
    </xf>
    <xf numFmtId="174" fontId="10" fillId="0" borderId="20" xfId="0" applyNumberFormat="1" applyFont="1" applyFill="1" applyBorder="1" applyAlignment="1">
      <alignment horizontal="right"/>
    </xf>
    <xf numFmtId="174" fontId="10" fillId="0" borderId="21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174" fontId="10" fillId="0" borderId="22" xfId="0" applyNumberFormat="1" applyFont="1" applyBorder="1" applyAlignment="1">
      <alignment horizontal="right"/>
    </xf>
    <xf numFmtId="164" fontId="15" fillId="0" borderId="12" xfId="0" applyNumberFormat="1" applyFont="1" applyFill="1" applyBorder="1" applyAlignment="1">
      <alignment wrapText="1"/>
    </xf>
    <xf numFmtId="4" fontId="10" fillId="0" borderId="11" xfId="0" applyNumberFormat="1" applyFont="1" applyBorder="1" applyAlignment="1">
      <alignment/>
    </xf>
    <xf numFmtId="174" fontId="10" fillId="0" borderId="19" xfId="0" applyNumberFormat="1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4" fontId="7" fillId="0" borderId="11" xfId="0" applyNumberFormat="1" applyFont="1" applyBorder="1" applyAlignment="1">
      <alignment wrapText="1"/>
    </xf>
    <xf numFmtId="165" fontId="10" fillId="0" borderId="0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164" fontId="7" fillId="0" borderId="17" xfId="0" applyNumberFormat="1" applyFont="1" applyFill="1" applyBorder="1" applyAlignment="1">
      <alignment wrapText="1"/>
    </xf>
    <xf numFmtId="174" fontId="10" fillId="0" borderId="19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/>
    </xf>
    <xf numFmtId="174" fontId="10" fillId="0" borderId="23" xfId="0" applyNumberFormat="1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/>
    </xf>
    <xf numFmtId="174" fontId="10" fillId="0" borderId="24" xfId="0" applyNumberFormat="1" applyFont="1" applyBorder="1" applyAlignment="1">
      <alignment horizontal="right"/>
    </xf>
    <xf numFmtId="174" fontId="10" fillId="0" borderId="25" xfId="0" applyNumberFormat="1" applyFont="1" applyBorder="1" applyAlignment="1">
      <alignment horizontal="right"/>
    </xf>
    <xf numFmtId="164" fontId="7" fillId="0" borderId="12" xfId="0" applyNumberFormat="1" applyFont="1" applyFill="1" applyBorder="1" applyAlignment="1">
      <alignment wrapText="1"/>
    </xf>
    <xf numFmtId="4" fontId="7" fillId="0" borderId="12" xfId="0" applyNumberFormat="1" applyFont="1" applyBorder="1" applyAlignment="1">
      <alignment wrapText="1"/>
    </xf>
    <xf numFmtId="174" fontId="10" fillId="0" borderId="15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4" fontId="14" fillId="0" borderId="11" xfId="0" applyNumberFormat="1" applyFont="1" applyBorder="1" applyAlignment="1">
      <alignment wrapText="1"/>
    </xf>
    <xf numFmtId="174" fontId="10" fillId="0" borderId="18" xfId="0" applyNumberFormat="1" applyFont="1" applyFill="1" applyBorder="1" applyAlignment="1">
      <alignment horizontal="right"/>
    </xf>
    <xf numFmtId="174" fontId="10" fillId="0" borderId="22" xfId="0" applyNumberFormat="1" applyFont="1" applyFill="1" applyBorder="1" applyAlignment="1">
      <alignment horizontal="right"/>
    </xf>
    <xf numFmtId="164" fontId="12" fillId="0" borderId="17" xfId="0" applyNumberFormat="1" applyFont="1" applyFill="1" applyBorder="1" applyAlignment="1">
      <alignment wrapText="1"/>
    </xf>
    <xf numFmtId="164" fontId="14" fillId="0" borderId="12" xfId="0" applyNumberFormat="1" applyFont="1" applyFill="1" applyBorder="1" applyAlignment="1">
      <alignment wrapText="1"/>
    </xf>
    <xf numFmtId="0" fontId="13" fillId="0" borderId="11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6" fillId="0" borderId="11" xfId="0" applyNumberFormat="1" applyFont="1" applyFill="1" applyBorder="1" applyAlignment="1">
      <alignment wrapText="1"/>
    </xf>
    <xf numFmtId="165" fontId="10" fillId="0" borderId="0" xfId="0" applyNumberFormat="1" applyFont="1" applyFill="1" applyBorder="1" applyAlignment="1">
      <alignment horizontal="right" wrapText="1"/>
    </xf>
    <xf numFmtId="4" fontId="10" fillId="0" borderId="17" xfId="0" applyNumberFormat="1" applyFont="1" applyBorder="1" applyAlignment="1">
      <alignment wrapText="1"/>
    </xf>
    <xf numFmtId="0" fontId="7" fillId="32" borderId="11" xfId="0" applyFont="1" applyFill="1" applyBorder="1" applyAlignment="1">
      <alignment horizontal="right" vertical="center" textRotation="90" wrapText="1"/>
    </xf>
    <xf numFmtId="3" fontId="10" fillId="0" borderId="11" xfId="0" applyNumberFormat="1" applyFont="1" applyFill="1" applyBorder="1" applyAlignment="1">
      <alignment horizontal="right" wrapText="1"/>
    </xf>
    <xf numFmtId="165" fontId="63" fillId="0" borderId="11" xfId="0" applyNumberFormat="1" applyFont="1" applyFill="1" applyBorder="1" applyAlignment="1">
      <alignment wrapText="1"/>
    </xf>
    <xf numFmtId="165" fontId="63" fillId="0" borderId="11" xfId="0" applyNumberFormat="1" applyFont="1" applyBorder="1" applyAlignment="1">
      <alignment horizontal="right" wrapText="1"/>
    </xf>
    <xf numFmtId="0" fontId="11" fillId="0" borderId="2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38"/>
  <sheetViews>
    <sheetView tabSelected="1" view="pageBreakPreview" zoomScaleNormal="75" zoomScaleSheetLayoutView="100" zoomScalePageLayoutView="0" workbookViewId="0" topLeftCell="B1">
      <pane ySplit="3" topLeftCell="A4" activePane="bottomLeft" state="frozen"/>
      <selection pane="topLeft" activeCell="B1" sqref="B1"/>
      <selection pane="bottomLeft" activeCell="B1" sqref="B1:AL1"/>
    </sheetView>
  </sheetViews>
  <sheetFormatPr defaultColWidth="9.140625" defaultRowHeight="12.75"/>
  <cols>
    <col min="1" max="1" width="6.28125" style="1" hidden="1" customWidth="1"/>
    <col min="2" max="2" width="6.00390625" style="12" customWidth="1"/>
    <col min="3" max="3" width="9.28125" style="2" bestFit="1" customWidth="1"/>
    <col min="4" max="4" width="4.8515625" style="2" customWidth="1"/>
    <col min="5" max="5" width="5.57421875" style="2" customWidth="1"/>
    <col min="6" max="6" width="17.57421875" style="2" customWidth="1"/>
    <col min="7" max="19" width="5.421875" style="12" customWidth="1"/>
    <col min="20" max="22" width="13.421875" style="2" customWidth="1"/>
    <col min="23" max="23" width="15.7109375" style="2" customWidth="1"/>
    <col min="24" max="24" width="0.13671875" style="2" hidden="1" customWidth="1"/>
    <col min="25" max="25" width="2.140625" style="2" hidden="1" customWidth="1"/>
    <col min="26" max="26" width="16.00390625" style="2" customWidth="1"/>
    <col min="27" max="32" width="13.421875" style="2" customWidth="1"/>
    <col min="33" max="33" width="12.8515625" style="2" customWidth="1"/>
    <col min="34" max="34" width="26.140625" style="2" bestFit="1" customWidth="1"/>
    <col min="35" max="35" width="155.8515625" style="2" bestFit="1" customWidth="1"/>
    <col min="36" max="36" width="17.00390625" style="2" hidden="1" customWidth="1"/>
    <col min="37" max="92" width="9.140625" style="3" customWidth="1"/>
    <col min="93" max="93" width="9.28125" style="3" bestFit="1" customWidth="1"/>
    <col min="94" max="94" width="9.140625" style="3" customWidth="1"/>
    <col min="95" max="95" width="9.28125" style="1" bestFit="1" customWidth="1"/>
    <col min="96" max="96" width="9.140625" style="1" customWidth="1"/>
    <col min="97" max="97" width="9.28125" style="1" bestFit="1" customWidth="1"/>
    <col min="98" max="98" width="9.140625" style="1" customWidth="1"/>
    <col min="99" max="111" width="9.28125" style="1" bestFit="1" customWidth="1"/>
    <col min="112" max="112" width="16.140625" style="1" bestFit="1" customWidth="1"/>
    <col min="113" max="113" width="9.140625" style="1" customWidth="1"/>
    <col min="114" max="114" width="12.140625" style="1" bestFit="1" customWidth="1"/>
    <col min="115" max="115" width="9.140625" style="1" customWidth="1"/>
    <col min="116" max="122" width="9.28125" style="1" bestFit="1" customWidth="1"/>
    <col min="123" max="185" width="9.140625" style="1" customWidth="1"/>
    <col min="186" max="186" width="9.28125" style="1" bestFit="1" customWidth="1"/>
    <col min="187" max="187" width="9.140625" style="1" customWidth="1"/>
    <col min="188" max="188" width="9.28125" style="1" bestFit="1" customWidth="1"/>
    <col min="189" max="189" width="9.140625" style="1" customWidth="1"/>
    <col min="190" max="190" width="9.28125" style="1" bestFit="1" customWidth="1"/>
    <col min="191" max="191" width="9.140625" style="1" customWidth="1"/>
    <col min="192" max="204" width="9.28125" style="1" bestFit="1" customWidth="1"/>
    <col min="205" max="205" width="14.57421875" style="1" bestFit="1" customWidth="1"/>
    <col min="206" max="206" width="9.140625" style="1" customWidth="1"/>
    <col min="207" max="207" width="12.140625" style="1" bestFit="1" customWidth="1"/>
    <col min="208" max="208" width="9.140625" style="1" customWidth="1"/>
    <col min="209" max="215" width="9.28125" style="1" bestFit="1" customWidth="1"/>
    <col min="216" max="16384" width="9.140625" style="1" customWidth="1"/>
  </cols>
  <sheetData>
    <row r="1" spans="2:94" s="4" customFormat="1" ht="27.75">
      <c r="B1" s="160" t="s">
        <v>258</v>
      </c>
      <c r="C1" s="160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3:33" ht="6.75" customHeight="1" thickBot="1">
      <c r="C2" s="16"/>
      <c r="AG2" s="13"/>
    </row>
    <row r="3" spans="1:36" ht="197.25" customHeight="1" thickBot="1" thickTop="1">
      <c r="A3" s="5" t="s">
        <v>0</v>
      </c>
      <c r="B3" s="17" t="s">
        <v>0</v>
      </c>
      <c r="C3" s="6" t="s">
        <v>19</v>
      </c>
      <c r="D3" s="8" t="s">
        <v>1</v>
      </c>
      <c r="E3" s="8" t="s">
        <v>6</v>
      </c>
      <c r="F3" s="9" t="s">
        <v>7</v>
      </c>
      <c r="G3" s="152" t="s">
        <v>5</v>
      </c>
      <c r="H3" s="152" t="s">
        <v>8</v>
      </c>
      <c r="I3" s="152" t="s">
        <v>2</v>
      </c>
      <c r="J3" s="152" t="s">
        <v>3</v>
      </c>
      <c r="K3" s="152" t="s">
        <v>16</v>
      </c>
      <c r="L3" s="152" t="s">
        <v>243</v>
      </c>
      <c r="M3" s="152" t="s">
        <v>244</v>
      </c>
      <c r="N3" s="152" t="s">
        <v>9</v>
      </c>
      <c r="O3" s="152" t="s">
        <v>11</v>
      </c>
      <c r="P3" s="152" t="s">
        <v>10</v>
      </c>
      <c r="Q3" s="152" t="s">
        <v>4</v>
      </c>
      <c r="R3" s="152" t="s">
        <v>245</v>
      </c>
      <c r="S3" s="152" t="s">
        <v>246</v>
      </c>
      <c r="T3" s="7" t="s">
        <v>57</v>
      </c>
      <c r="U3" s="7" t="s">
        <v>30</v>
      </c>
      <c r="V3" s="7" t="s">
        <v>12</v>
      </c>
      <c r="W3" s="7" t="s">
        <v>13</v>
      </c>
      <c r="X3" s="15" t="s">
        <v>18</v>
      </c>
      <c r="Y3" s="15" t="s">
        <v>17</v>
      </c>
      <c r="Z3" s="7" t="s">
        <v>14</v>
      </c>
      <c r="AA3" s="7" t="s">
        <v>247</v>
      </c>
      <c r="AB3" s="7" t="s">
        <v>248</v>
      </c>
      <c r="AC3" s="7" t="s">
        <v>249</v>
      </c>
      <c r="AD3" s="7" t="s">
        <v>250</v>
      </c>
      <c r="AE3" s="7" t="s">
        <v>251</v>
      </c>
      <c r="AF3" s="10" t="s">
        <v>15</v>
      </c>
      <c r="AG3" s="14" t="s">
        <v>45</v>
      </c>
      <c r="AH3" s="63"/>
      <c r="AI3" s="64"/>
      <c r="AJ3" s="11"/>
    </row>
    <row r="4" spans="1:217" s="158" customFormat="1" ht="47.25" customHeight="1" thickBot="1" thickTop="1">
      <c r="A4" s="156" t="s">
        <v>242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</row>
    <row r="5" spans="1:93" s="25" customFormat="1" ht="19.5" thickBot="1" thickTop="1">
      <c r="A5" s="29"/>
      <c r="B5" s="56">
        <v>1</v>
      </c>
      <c r="C5" s="65">
        <v>15096</v>
      </c>
      <c r="D5" s="65" t="s">
        <v>21</v>
      </c>
      <c r="E5" s="65">
        <v>7</v>
      </c>
      <c r="F5" s="65" t="s">
        <v>156</v>
      </c>
      <c r="G5" s="56">
        <v>0</v>
      </c>
      <c r="H5" s="66">
        <v>1</v>
      </c>
      <c r="I5" s="66">
        <v>0</v>
      </c>
      <c r="J5" s="66">
        <v>1</v>
      </c>
      <c r="K5" s="56">
        <v>0</v>
      </c>
      <c r="L5" s="56">
        <v>6</v>
      </c>
      <c r="M5" s="66">
        <v>1</v>
      </c>
      <c r="N5" s="66">
        <v>1</v>
      </c>
      <c r="O5" s="66">
        <v>0</v>
      </c>
      <c r="P5" s="66">
        <v>1</v>
      </c>
      <c r="Q5" s="66">
        <v>0</v>
      </c>
      <c r="R5" s="66">
        <v>0</v>
      </c>
      <c r="S5" s="66">
        <v>0</v>
      </c>
      <c r="T5" s="67"/>
      <c r="U5" s="67"/>
      <c r="V5" s="67">
        <f>14710+20748.11</f>
        <v>35458.11</v>
      </c>
      <c r="W5" s="67"/>
      <c r="X5" s="68"/>
      <c r="Y5" s="68"/>
      <c r="Z5" s="69">
        <f aca="true" t="shared" si="0" ref="Z5:Z36">((T5*50%+U5*85%+V5)/L5)+W5</f>
        <v>5909.685</v>
      </c>
      <c r="AA5" s="69">
        <f aca="true" t="shared" si="1" ref="AA5:AA36">IF(O5=1,Z5*30%,0)</f>
        <v>0</v>
      </c>
      <c r="AB5" s="69">
        <f aca="true" t="shared" si="2" ref="AB5:AB36">IF(K5=1,Z5*20%,0)</f>
        <v>0</v>
      </c>
      <c r="AC5" s="69">
        <f aca="true" t="shared" si="3" ref="AC5:AC36">IF(R5=1,Z5*10%,0)</f>
        <v>0</v>
      </c>
      <c r="AD5" s="69">
        <f aca="true" t="shared" si="4" ref="AD5:AD36">IF(S5=1,Z5*30%,0)</f>
        <v>0</v>
      </c>
      <c r="AE5" s="69">
        <f aca="true" t="shared" si="5" ref="AE5:AE36">IF(I5=1,Z5*30%,0)</f>
        <v>0</v>
      </c>
      <c r="AF5" s="69">
        <f aca="true" t="shared" si="6" ref="AF5:AF36">Z5-AA5-AB5-AC5-AD5-AE5</f>
        <v>5909.685</v>
      </c>
      <c r="AG5" s="70">
        <v>72</v>
      </c>
      <c r="AH5" s="71" t="s">
        <v>22</v>
      </c>
      <c r="AI5" s="71"/>
      <c r="AJ5" s="28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</row>
    <row r="6" spans="1:93" s="39" customFormat="1" ht="19.5" thickBot="1" thickTop="1">
      <c r="A6" s="55"/>
      <c r="B6" s="56">
        <v>2</v>
      </c>
      <c r="C6" s="65">
        <v>2229</v>
      </c>
      <c r="D6" s="65" t="s">
        <v>20</v>
      </c>
      <c r="E6" s="65">
        <v>7</v>
      </c>
      <c r="F6" s="65" t="s">
        <v>108</v>
      </c>
      <c r="G6" s="66">
        <v>0</v>
      </c>
      <c r="H6" s="66">
        <v>1</v>
      </c>
      <c r="I6" s="56">
        <v>1</v>
      </c>
      <c r="J6" s="66">
        <v>1</v>
      </c>
      <c r="K6" s="56">
        <v>0</v>
      </c>
      <c r="L6" s="56">
        <v>3</v>
      </c>
      <c r="M6" s="56">
        <v>1</v>
      </c>
      <c r="N6" s="66">
        <v>1</v>
      </c>
      <c r="O6" s="66">
        <v>0</v>
      </c>
      <c r="P6" s="66">
        <v>0</v>
      </c>
      <c r="Q6" s="66">
        <v>0</v>
      </c>
      <c r="R6" s="66">
        <v>0</v>
      </c>
      <c r="S6" s="56">
        <v>0</v>
      </c>
      <c r="T6" s="74">
        <f>35.87+1045.44</f>
        <v>1081.31</v>
      </c>
      <c r="U6" s="74"/>
      <c r="V6" s="74">
        <f>5700+2500-T6</f>
        <v>7118.6900000000005</v>
      </c>
      <c r="W6" s="74"/>
      <c r="X6" s="74"/>
      <c r="Y6" s="74"/>
      <c r="Z6" s="69">
        <f t="shared" si="0"/>
        <v>2553.1150000000002</v>
      </c>
      <c r="AA6" s="69">
        <f t="shared" si="1"/>
        <v>0</v>
      </c>
      <c r="AB6" s="69">
        <f t="shared" si="2"/>
        <v>0</v>
      </c>
      <c r="AC6" s="69">
        <f t="shared" si="3"/>
        <v>0</v>
      </c>
      <c r="AD6" s="69">
        <f t="shared" si="4"/>
        <v>0</v>
      </c>
      <c r="AE6" s="69">
        <f t="shared" si="5"/>
        <v>765.9345000000001</v>
      </c>
      <c r="AF6" s="69">
        <f t="shared" si="6"/>
        <v>1787.1805000000002</v>
      </c>
      <c r="AG6" s="75">
        <v>72</v>
      </c>
      <c r="AH6" s="71" t="s">
        <v>81</v>
      </c>
      <c r="AI6" s="71"/>
      <c r="AJ6" s="37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</row>
    <row r="7" spans="1:93" s="25" customFormat="1" ht="19.5" thickBot="1" thickTop="1">
      <c r="A7" s="29"/>
      <c r="B7" s="56">
        <v>3</v>
      </c>
      <c r="C7" s="65">
        <v>15093</v>
      </c>
      <c r="D7" s="65" t="s">
        <v>21</v>
      </c>
      <c r="E7" s="65">
        <v>7</v>
      </c>
      <c r="F7" s="65" t="s">
        <v>130</v>
      </c>
      <c r="G7" s="66">
        <v>0</v>
      </c>
      <c r="H7" s="66">
        <v>1</v>
      </c>
      <c r="I7" s="56">
        <v>0</v>
      </c>
      <c r="J7" s="66">
        <v>1</v>
      </c>
      <c r="K7" s="56">
        <v>1</v>
      </c>
      <c r="L7" s="56">
        <v>2</v>
      </c>
      <c r="M7" s="56">
        <v>1</v>
      </c>
      <c r="N7" s="66">
        <v>1</v>
      </c>
      <c r="O7" s="66">
        <v>0</v>
      </c>
      <c r="P7" s="66">
        <v>1</v>
      </c>
      <c r="Q7" s="66">
        <v>0</v>
      </c>
      <c r="R7" s="66">
        <v>0</v>
      </c>
      <c r="S7" s="66">
        <v>0</v>
      </c>
      <c r="T7" s="74">
        <v>712.76</v>
      </c>
      <c r="U7" s="74"/>
      <c r="V7" s="74">
        <f>5000+3000-T7</f>
        <v>7287.24</v>
      </c>
      <c r="W7" s="74"/>
      <c r="X7" s="76"/>
      <c r="Y7" s="76"/>
      <c r="Z7" s="69">
        <f t="shared" si="0"/>
        <v>3821.81</v>
      </c>
      <c r="AA7" s="69">
        <f t="shared" si="1"/>
        <v>0</v>
      </c>
      <c r="AB7" s="69">
        <f t="shared" si="2"/>
        <v>764.3620000000001</v>
      </c>
      <c r="AC7" s="69">
        <f t="shared" si="3"/>
        <v>0</v>
      </c>
      <c r="AD7" s="69">
        <f t="shared" si="4"/>
        <v>0</v>
      </c>
      <c r="AE7" s="69">
        <f t="shared" si="5"/>
        <v>0</v>
      </c>
      <c r="AF7" s="69">
        <f t="shared" si="6"/>
        <v>3057.448</v>
      </c>
      <c r="AG7" s="70">
        <v>71</v>
      </c>
      <c r="AH7" s="77" t="s">
        <v>54</v>
      </c>
      <c r="AI7" s="78"/>
      <c r="AJ7" s="19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</row>
    <row r="8" spans="1:93" s="25" customFormat="1" ht="19.5" thickBot="1" thickTop="1">
      <c r="A8" s="29"/>
      <c r="B8" s="56">
        <v>4</v>
      </c>
      <c r="C8" s="72">
        <v>15214</v>
      </c>
      <c r="D8" s="72" t="s">
        <v>21</v>
      </c>
      <c r="E8" s="72">
        <v>5</v>
      </c>
      <c r="F8" s="72" t="s">
        <v>162</v>
      </c>
      <c r="G8" s="56">
        <v>0</v>
      </c>
      <c r="H8" s="56">
        <v>1</v>
      </c>
      <c r="I8" s="56">
        <v>1</v>
      </c>
      <c r="J8" s="56">
        <v>1</v>
      </c>
      <c r="K8" s="56">
        <v>0</v>
      </c>
      <c r="L8" s="56">
        <v>5</v>
      </c>
      <c r="M8" s="56">
        <v>1</v>
      </c>
      <c r="N8" s="56">
        <v>1</v>
      </c>
      <c r="O8" s="56">
        <v>1</v>
      </c>
      <c r="P8" s="56">
        <v>1</v>
      </c>
      <c r="Q8" s="56">
        <v>0</v>
      </c>
      <c r="R8" s="56">
        <v>0</v>
      </c>
      <c r="S8" s="56">
        <v>0</v>
      </c>
      <c r="T8" s="74">
        <v>2974</v>
      </c>
      <c r="U8" s="74"/>
      <c r="V8" s="74">
        <f>10005-T8</f>
        <v>7031</v>
      </c>
      <c r="W8" s="74"/>
      <c r="X8" s="74"/>
      <c r="Y8" s="74"/>
      <c r="Z8" s="69">
        <f t="shared" si="0"/>
        <v>1703.6</v>
      </c>
      <c r="AA8" s="69">
        <f t="shared" si="1"/>
        <v>511.0799999999999</v>
      </c>
      <c r="AB8" s="69">
        <f t="shared" si="2"/>
        <v>0</v>
      </c>
      <c r="AC8" s="69">
        <f t="shared" si="3"/>
        <v>0</v>
      </c>
      <c r="AD8" s="69">
        <f t="shared" si="4"/>
        <v>0</v>
      </c>
      <c r="AE8" s="69">
        <f t="shared" si="5"/>
        <v>511.0799999999999</v>
      </c>
      <c r="AF8" s="69">
        <f t="shared" si="6"/>
        <v>681.44</v>
      </c>
      <c r="AG8" s="79">
        <v>64.5</v>
      </c>
      <c r="AH8" s="80" t="s">
        <v>23</v>
      </c>
      <c r="AI8" s="80"/>
      <c r="AJ8" s="19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</row>
    <row r="9" spans="1:93" s="25" customFormat="1" ht="22.5" customHeight="1" thickBot="1" thickTop="1">
      <c r="A9" s="27"/>
      <c r="B9" s="56">
        <v>5</v>
      </c>
      <c r="C9" s="72">
        <v>15024</v>
      </c>
      <c r="D9" s="72" t="s">
        <v>24</v>
      </c>
      <c r="E9" s="72">
        <v>7</v>
      </c>
      <c r="F9" s="72" t="s">
        <v>134</v>
      </c>
      <c r="G9" s="56">
        <v>0</v>
      </c>
      <c r="H9" s="56">
        <v>1</v>
      </c>
      <c r="I9" s="56">
        <v>0</v>
      </c>
      <c r="J9" s="56">
        <v>1</v>
      </c>
      <c r="K9" s="56">
        <v>0</v>
      </c>
      <c r="L9" s="56">
        <v>3</v>
      </c>
      <c r="M9" s="56">
        <v>1</v>
      </c>
      <c r="N9" s="56">
        <v>1</v>
      </c>
      <c r="O9" s="56">
        <v>0</v>
      </c>
      <c r="P9" s="56">
        <v>0</v>
      </c>
      <c r="Q9" s="56">
        <v>0</v>
      </c>
      <c r="R9" s="56">
        <v>0</v>
      </c>
      <c r="S9" s="56">
        <v>1</v>
      </c>
      <c r="T9" s="74"/>
      <c r="U9" s="74"/>
      <c r="V9" s="74">
        <f>4900+4824.74</f>
        <v>9724.74</v>
      </c>
      <c r="W9" s="74"/>
      <c r="X9" s="76"/>
      <c r="Y9" s="76"/>
      <c r="Z9" s="69">
        <f t="shared" si="0"/>
        <v>3241.58</v>
      </c>
      <c r="AA9" s="69">
        <f t="shared" si="1"/>
        <v>0</v>
      </c>
      <c r="AB9" s="69">
        <f t="shared" si="2"/>
        <v>0</v>
      </c>
      <c r="AC9" s="69">
        <f t="shared" si="3"/>
        <v>0</v>
      </c>
      <c r="AD9" s="69">
        <f t="shared" si="4"/>
        <v>972.4739999999999</v>
      </c>
      <c r="AE9" s="69">
        <f t="shared" si="5"/>
        <v>0</v>
      </c>
      <c r="AF9" s="69">
        <f t="shared" si="6"/>
        <v>2269.1059999999998</v>
      </c>
      <c r="AG9" s="79">
        <v>63</v>
      </c>
      <c r="AH9" s="71" t="s">
        <v>22</v>
      </c>
      <c r="AI9" s="71"/>
      <c r="AJ9" s="19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</row>
    <row r="10" spans="1:93" s="25" customFormat="1" ht="19.5" thickBot="1" thickTop="1">
      <c r="A10" s="27"/>
      <c r="B10" s="56">
        <v>6</v>
      </c>
      <c r="C10" s="65">
        <v>15204</v>
      </c>
      <c r="D10" s="65" t="s">
        <v>21</v>
      </c>
      <c r="E10" s="65">
        <v>5</v>
      </c>
      <c r="F10" s="65" t="s">
        <v>104</v>
      </c>
      <c r="G10" s="66">
        <v>0</v>
      </c>
      <c r="H10" s="66">
        <v>1</v>
      </c>
      <c r="I10" s="56">
        <v>0</v>
      </c>
      <c r="J10" s="66">
        <v>1</v>
      </c>
      <c r="K10" s="56">
        <v>0</v>
      </c>
      <c r="L10" s="56">
        <v>5</v>
      </c>
      <c r="M10" s="56">
        <v>1</v>
      </c>
      <c r="N10" s="66">
        <v>1</v>
      </c>
      <c r="O10" s="66">
        <v>1</v>
      </c>
      <c r="P10" s="66">
        <v>1</v>
      </c>
      <c r="Q10" s="66">
        <v>0</v>
      </c>
      <c r="R10" s="66">
        <v>1</v>
      </c>
      <c r="S10" s="66">
        <v>1</v>
      </c>
      <c r="T10" s="74">
        <v>7765.55</v>
      </c>
      <c r="U10" s="74"/>
      <c r="V10" s="74">
        <f>8220.62-T10</f>
        <v>455.0700000000006</v>
      </c>
      <c r="W10" s="74"/>
      <c r="X10" s="74"/>
      <c r="Y10" s="74"/>
      <c r="Z10" s="69">
        <f t="shared" si="0"/>
        <v>867.5690000000002</v>
      </c>
      <c r="AA10" s="69">
        <f t="shared" si="1"/>
        <v>260.27070000000003</v>
      </c>
      <c r="AB10" s="69">
        <f t="shared" si="2"/>
        <v>0</v>
      </c>
      <c r="AC10" s="69">
        <f t="shared" si="3"/>
        <v>86.75690000000003</v>
      </c>
      <c r="AD10" s="69">
        <f t="shared" si="4"/>
        <v>260.27070000000003</v>
      </c>
      <c r="AE10" s="69">
        <f t="shared" si="5"/>
        <v>0</v>
      </c>
      <c r="AF10" s="69">
        <f t="shared" si="6"/>
        <v>260.27070000000003</v>
      </c>
      <c r="AG10" s="79">
        <v>63</v>
      </c>
      <c r="AH10" s="80" t="s">
        <v>60</v>
      </c>
      <c r="AI10" s="78"/>
      <c r="AJ10" s="28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</row>
    <row r="11" spans="1:93" s="25" customFormat="1" ht="22.5" customHeight="1" thickBot="1" thickTop="1">
      <c r="A11" s="27"/>
      <c r="B11" s="56">
        <v>7</v>
      </c>
      <c r="C11" s="72">
        <v>15157</v>
      </c>
      <c r="D11" s="72" t="s">
        <v>21</v>
      </c>
      <c r="E11" s="72">
        <v>5</v>
      </c>
      <c r="F11" s="72" t="s">
        <v>171</v>
      </c>
      <c r="G11" s="56">
        <v>0</v>
      </c>
      <c r="H11" s="56">
        <v>1</v>
      </c>
      <c r="I11" s="56">
        <v>1</v>
      </c>
      <c r="J11" s="56">
        <v>1</v>
      </c>
      <c r="K11" s="56">
        <v>0</v>
      </c>
      <c r="L11" s="56">
        <v>4</v>
      </c>
      <c r="M11" s="56">
        <v>1</v>
      </c>
      <c r="N11" s="56">
        <v>1</v>
      </c>
      <c r="O11" s="56">
        <v>1</v>
      </c>
      <c r="P11" s="56">
        <v>0</v>
      </c>
      <c r="Q11" s="56">
        <v>0</v>
      </c>
      <c r="R11" s="56">
        <v>0</v>
      </c>
      <c r="S11" s="56">
        <v>0</v>
      </c>
      <c r="T11" s="74">
        <v>3869.63</v>
      </c>
      <c r="U11" s="74">
        <v>2020.03</v>
      </c>
      <c r="V11" s="74">
        <f>8975+2500-U11</f>
        <v>9454.97</v>
      </c>
      <c r="W11" s="74"/>
      <c r="X11" s="74"/>
      <c r="Y11" s="74"/>
      <c r="Z11" s="69">
        <f t="shared" si="0"/>
        <v>3276.702625</v>
      </c>
      <c r="AA11" s="69">
        <f t="shared" si="1"/>
        <v>983.0107874999999</v>
      </c>
      <c r="AB11" s="69">
        <f t="shared" si="2"/>
        <v>0</v>
      </c>
      <c r="AC11" s="69">
        <f t="shared" si="3"/>
        <v>0</v>
      </c>
      <c r="AD11" s="69">
        <f t="shared" si="4"/>
        <v>0</v>
      </c>
      <c r="AE11" s="69">
        <f t="shared" si="5"/>
        <v>983.0107874999999</v>
      </c>
      <c r="AF11" s="69">
        <f t="shared" si="6"/>
        <v>1310.6810500000001</v>
      </c>
      <c r="AG11" s="75">
        <v>61.5</v>
      </c>
      <c r="AH11" s="80" t="s">
        <v>71</v>
      </c>
      <c r="AI11" s="71"/>
      <c r="AJ11" s="30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</row>
    <row r="12" spans="1:93" s="25" customFormat="1" ht="19.5" thickBot="1" thickTop="1">
      <c r="A12" s="27"/>
      <c r="B12" s="56">
        <v>8</v>
      </c>
      <c r="C12" s="72">
        <v>2316</v>
      </c>
      <c r="D12" s="81" t="s">
        <v>20</v>
      </c>
      <c r="E12" s="72">
        <v>5</v>
      </c>
      <c r="F12" s="72" t="s">
        <v>157</v>
      </c>
      <c r="G12" s="56">
        <v>0</v>
      </c>
      <c r="H12" s="56">
        <v>1</v>
      </c>
      <c r="I12" s="56">
        <v>1</v>
      </c>
      <c r="J12" s="56">
        <v>1</v>
      </c>
      <c r="K12" s="56">
        <v>0</v>
      </c>
      <c r="L12" s="56">
        <v>5</v>
      </c>
      <c r="M12" s="56">
        <v>1</v>
      </c>
      <c r="N12" s="56">
        <v>1</v>
      </c>
      <c r="O12" s="56">
        <v>0</v>
      </c>
      <c r="P12" s="56">
        <v>0</v>
      </c>
      <c r="Q12" s="56">
        <v>1</v>
      </c>
      <c r="R12" s="56">
        <v>0</v>
      </c>
      <c r="S12" s="56">
        <v>0</v>
      </c>
      <c r="T12" s="74">
        <v>1168.79</v>
      </c>
      <c r="U12" s="74"/>
      <c r="V12" s="74">
        <f>2500+2500-T12</f>
        <v>3831.21</v>
      </c>
      <c r="W12" s="74"/>
      <c r="X12" s="74"/>
      <c r="Y12" s="74"/>
      <c r="Z12" s="69">
        <f t="shared" si="0"/>
        <v>883.1209999999999</v>
      </c>
      <c r="AA12" s="69">
        <f t="shared" si="1"/>
        <v>0</v>
      </c>
      <c r="AB12" s="69">
        <f t="shared" si="2"/>
        <v>0</v>
      </c>
      <c r="AC12" s="69">
        <f t="shared" si="3"/>
        <v>0</v>
      </c>
      <c r="AD12" s="69">
        <f t="shared" si="4"/>
        <v>0</v>
      </c>
      <c r="AE12" s="69">
        <f t="shared" si="5"/>
        <v>264.93629999999996</v>
      </c>
      <c r="AF12" s="69">
        <f t="shared" si="6"/>
        <v>618.1846999999999</v>
      </c>
      <c r="AG12" s="75">
        <v>60</v>
      </c>
      <c r="AH12" s="80" t="s">
        <v>41</v>
      </c>
      <c r="AI12" s="82"/>
      <c r="AJ12" s="19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</row>
    <row r="13" spans="1:93" s="25" customFormat="1" ht="22.5" customHeight="1" thickBot="1" thickTop="1">
      <c r="A13" s="27"/>
      <c r="B13" s="56">
        <v>9</v>
      </c>
      <c r="C13" s="72">
        <v>2305</v>
      </c>
      <c r="D13" s="81" t="s">
        <v>20</v>
      </c>
      <c r="E13" s="72">
        <v>5</v>
      </c>
      <c r="F13" s="72" t="s">
        <v>178</v>
      </c>
      <c r="G13" s="56">
        <v>0</v>
      </c>
      <c r="H13" s="56">
        <v>1</v>
      </c>
      <c r="I13" s="56">
        <v>1</v>
      </c>
      <c r="J13" s="56">
        <v>1</v>
      </c>
      <c r="K13" s="56">
        <v>0</v>
      </c>
      <c r="L13" s="56">
        <v>2</v>
      </c>
      <c r="M13" s="56">
        <v>1</v>
      </c>
      <c r="N13" s="56">
        <v>1</v>
      </c>
      <c r="O13" s="56">
        <v>0</v>
      </c>
      <c r="P13" s="56">
        <v>0</v>
      </c>
      <c r="Q13" s="56">
        <v>0</v>
      </c>
      <c r="R13" s="56">
        <v>1</v>
      </c>
      <c r="S13" s="56">
        <v>0</v>
      </c>
      <c r="T13" s="74"/>
      <c r="U13" s="74"/>
      <c r="V13" s="74">
        <v>12256.37</v>
      </c>
      <c r="W13" s="74"/>
      <c r="X13" s="74"/>
      <c r="Y13" s="74"/>
      <c r="Z13" s="69">
        <f t="shared" si="0"/>
        <v>6128.185</v>
      </c>
      <c r="AA13" s="69">
        <f t="shared" si="1"/>
        <v>0</v>
      </c>
      <c r="AB13" s="69">
        <f t="shared" si="2"/>
        <v>0</v>
      </c>
      <c r="AC13" s="69">
        <f t="shared" si="3"/>
        <v>612.8185000000001</v>
      </c>
      <c r="AD13" s="69">
        <f t="shared" si="4"/>
        <v>0</v>
      </c>
      <c r="AE13" s="69">
        <f t="shared" si="5"/>
        <v>1838.4555</v>
      </c>
      <c r="AF13" s="69">
        <f t="shared" si="6"/>
        <v>3676.911</v>
      </c>
      <c r="AG13" s="79">
        <v>60</v>
      </c>
      <c r="AH13" s="80" t="s">
        <v>29</v>
      </c>
      <c r="AI13" s="80"/>
      <c r="AJ13" s="28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</row>
    <row r="14" spans="1:94" s="44" customFormat="1" ht="19.5" thickBot="1" thickTop="1">
      <c r="A14" s="32"/>
      <c r="B14" s="56">
        <v>10</v>
      </c>
      <c r="C14" s="72">
        <v>15071</v>
      </c>
      <c r="D14" s="72" t="s">
        <v>21</v>
      </c>
      <c r="E14" s="72">
        <v>7</v>
      </c>
      <c r="F14" s="72" t="s">
        <v>183</v>
      </c>
      <c r="G14" s="153">
        <v>0</v>
      </c>
      <c r="H14" s="153">
        <v>1</v>
      </c>
      <c r="I14" s="153">
        <v>1</v>
      </c>
      <c r="J14" s="153">
        <v>1</v>
      </c>
      <c r="K14" s="153">
        <v>0</v>
      </c>
      <c r="L14" s="153">
        <v>5</v>
      </c>
      <c r="M14" s="153">
        <v>1</v>
      </c>
      <c r="N14" s="153">
        <v>1</v>
      </c>
      <c r="O14" s="153">
        <v>0</v>
      </c>
      <c r="P14" s="153">
        <v>1</v>
      </c>
      <c r="Q14" s="153">
        <v>0</v>
      </c>
      <c r="R14" s="153">
        <v>0</v>
      </c>
      <c r="S14" s="153">
        <v>0</v>
      </c>
      <c r="T14" s="74"/>
      <c r="U14" s="74"/>
      <c r="V14" s="74">
        <f>7926.78+7477.5</f>
        <v>15404.279999999999</v>
      </c>
      <c r="W14" s="74"/>
      <c r="X14" s="76"/>
      <c r="Y14" s="76"/>
      <c r="Z14" s="69">
        <f t="shared" si="0"/>
        <v>3080.8559999999998</v>
      </c>
      <c r="AA14" s="69">
        <f t="shared" si="1"/>
        <v>0</v>
      </c>
      <c r="AB14" s="69">
        <f t="shared" si="2"/>
        <v>0</v>
      </c>
      <c r="AC14" s="69">
        <f t="shared" si="3"/>
        <v>0</v>
      </c>
      <c r="AD14" s="69">
        <f t="shared" si="4"/>
        <v>0</v>
      </c>
      <c r="AE14" s="69">
        <f t="shared" si="5"/>
        <v>924.2567999999999</v>
      </c>
      <c r="AF14" s="69">
        <f t="shared" si="6"/>
        <v>2156.5991999999997</v>
      </c>
      <c r="AG14" s="70">
        <v>59</v>
      </c>
      <c r="AH14" s="80" t="s">
        <v>80</v>
      </c>
      <c r="AI14" s="71"/>
      <c r="AJ14" s="19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</row>
    <row r="15" spans="1:94" s="39" customFormat="1" ht="22.5" customHeight="1" thickBot="1" thickTop="1">
      <c r="A15" s="34">
        <v>4</v>
      </c>
      <c r="B15" s="56">
        <v>11</v>
      </c>
      <c r="C15" s="65">
        <v>15052</v>
      </c>
      <c r="D15" s="65" t="s">
        <v>21</v>
      </c>
      <c r="E15" s="65">
        <v>7</v>
      </c>
      <c r="F15" s="65" t="s">
        <v>135</v>
      </c>
      <c r="G15" s="56">
        <v>0</v>
      </c>
      <c r="H15" s="66">
        <v>1</v>
      </c>
      <c r="I15" s="66">
        <v>0</v>
      </c>
      <c r="J15" s="66">
        <v>1</v>
      </c>
      <c r="K15" s="56">
        <v>0</v>
      </c>
      <c r="L15" s="56">
        <v>5</v>
      </c>
      <c r="M15" s="66">
        <v>1</v>
      </c>
      <c r="N15" s="66">
        <v>1</v>
      </c>
      <c r="O15" s="66">
        <v>0</v>
      </c>
      <c r="P15" s="66">
        <v>0</v>
      </c>
      <c r="Q15" s="66">
        <v>1</v>
      </c>
      <c r="R15" s="66">
        <v>0</v>
      </c>
      <c r="S15" s="66">
        <v>0</v>
      </c>
      <c r="T15" s="67"/>
      <c r="U15" s="67">
        <v>7000</v>
      </c>
      <c r="V15" s="67"/>
      <c r="W15" s="67"/>
      <c r="X15" s="68"/>
      <c r="Y15" s="68"/>
      <c r="Z15" s="69">
        <f t="shared" si="0"/>
        <v>1190</v>
      </c>
      <c r="AA15" s="69">
        <f t="shared" si="1"/>
        <v>0</v>
      </c>
      <c r="AB15" s="69">
        <f t="shared" si="2"/>
        <v>0</v>
      </c>
      <c r="AC15" s="69">
        <f t="shared" si="3"/>
        <v>0</v>
      </c>
      <c r="AD15" s="69">
        <f t="shared" si="4"/>
        <v>0</v>
      </c>
      <c r="AE15" s="69">
        <f t="shared" si="5"/>
        <v>0</v>
      </c>
      <c r="AF15" s="69">
        <f t="shared" si="6"/>
        <v>1190</v>
      </c>
      <c r="AG15" s="70">
        <v>58</v>
      </c>
      <c r="AH15" s="71" t="s">
        <v>55</v>
      </c>
      <c r="AI15" s="78" t="s">
        <v>241</v>
      </c>
      <c r="AJ15" s="46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</row>
    <row r="16" spans="1:94" s="25" customFormat="1" ht="22.5" customHeight="1" thickBot="1" thickTop="1">
      <c r="A16" s="27"/>
      <c r="B16" s="56">
        <v>12</v>
      </c>
      <c r="C16" s="72">
        <v>15289</v>
      </c>
      <c r="D16" s="72" t="s">
        <v>21</v>
      </c>
      <c r="E16" s="72">
        <v>5</v>
      </c>
      <c r="F16" s="72" t="s">
        <v>170</v>
      </c>
      <c r="G16" s="56">
        <v>0</v>
      </c>
      <c r="H16" s="56">
        <v>1</v>
      </c>
      <c r="I16" s="56">
        <v>1</v>
      </c>
      <c r="J16" s="56">
        <v>1</v>
      </c>
      <c r="K16" s="56">
        <v>0</v>
      </c>
      <c r="L16" s="56">
        <v>3</v>
      </c>
      <c r="M16" s="56">
        <v>1</v>
      </c>
      <c r="N16" s="56">
        <v>1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74">
        <v>2382.8</v>
      </c>
      <c r="U16" s="74"/>
      <c r="V16" s="74">
        <f>6450+3650-T16</f>
        <v>7717.2</v>
      </c>
      <c r="W16" s="74"/>
      <c r="X16" s="74"/>
      <c r="Y16" s="74"/>
      <c r="Z16" s="69">
        <f t="shared" si="0"/>
        <v>2969.5333333333333</v>
      </c>
      <c r="AA16" s="69">
        <f t="shared" si="1"/>
        <v>0</v>
      </c>
      <c r="AB16" s="69">
        <f t="shared" si="2"/>
        <v>0</v>
      </c>
      <c r="AC16" s="69">
        <f t="shared" si="3"/>
        <v>0</v>
      </c>
      <c r="AD16" s="69">
        <f t="shared" si="4"/>
        <v>0</v>
      </c>
      <c r="AE16" s="69">
        <f t="shared" si="5"/>
        <v>890.86</v>
      </c>
      <c r="AF16" s="69">
        <f t="shared" si="6"/>
        <v>2078.673333333333</v>
      </c>
      <c r="AG16" s="75">
        <v>57</v>
      </c>
      <c r="AH16" s="80" t="s">
        <v>22</v>
      </c>
      <c r="AI16" s="71"/>
      <c r="AJ16" s="19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</row>
    <row r="17" spans="2:217" s="22" customFormat="1" ht="19.5" thickBot="1" thickTop="1">
      <c r="B17" s="56">
        <v>13</v>
      </c>
      <c r="C17" s="65">
        <v>15209</v>
      </c>
      <c r="D17" s="65" t="s">
        <v>21</v>
      </c>
      <c r="E17" s="65">
        <v>5</v>
      </c>
      <c r="F17" s="65" t="s">
        <v>173</v>
      </c>
      <c r="G17" s="56">
        <v>0</v>
      </c>
      <c r="H17" s="66">
        <v>1</v>
      </c>
      <c r="I17" s="66">
        <v>0</v>
      </c>
      <c r="J17" s="66">
        <v>1</v>
      </c>
      <c r="K17" s="56">
        <v>0</v>
      </c>
      <c r="L17" s="56">
        <v>3</v>
      </c>
      <c r="M17" s="66">
        <v>1</v>
      </c>
      <c r="N17" s="66">
        <v>1</v>
      </c>
      <c r="O17" s="66">
        <v>0</v>
      </c>
      <c r="P17" s="66">
        <v>0</v>
      </c>
      <c r="Q17" s="66">
        <v>1</v>
      </c>
      <c r="R17" s="66">
        <v>1</v>
      </c>
      <c r="S17" s="66">
        <v>0</v>
      </c>
      <c r="T17" s="67">
        <v>8650</v>
      </c>
      <c r="U17" s="67"/>
      <c r="V17" s="67"/>
      <c r="W17" s="67"/>
      <c r="X17" s="67"/>
      <c r="Y17" s="67"/>
      <c r="Z17" s="69">
        <f t="shared" si="0"/>
        <v>1441.6666666666667</v>
      </c>
      <c r="AA17" s="69">
        <f t="shared" si="1"/>
        <v>0</v>
      </c>
      <c r="AB17" s="69">
        <f t="shared" si="2"/>
        <v>0</v>
      </c>
      <c r="AC17" s="69">
        <f t="shared" si="3"/>
        <v>144.16666666666669</v>
      </c>
      <c r="AD17" s="69">
        <f t="shared" si="4"/>
        <v>0</v>
      </c>
      <c r="AE17" s="69">
        <f t="shared" si="5"/>
        <v>0</v>
      </c>
      <c r="AF17" s="69">
        <f t="shared" si="6"/>
        <v>1297.5</v>
      </c>
      <c r="AG17" s="79">
        <v>56.5</v>
      </c>
      <c r="AH17" s="83" t="s">
        <v>22</v>
      </c>
      <c r="AI17" s="84"/>
      <c r="AJ17" s="20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>
        <v>2</v>
      </c>
      <c r="CP17" s="21" t="s">
        <v>58</v>
      </c>
      <c r="CQ17" s="22">
        <v>15204</v>
      </c>
      <c r="CR17" s="22" t="s">
        <v>21</v>
      </c>
      <c r="CS17" s="22">
        <v>1</v>
      </c>
      <c r="CT17" s="22" t="s">
        <v>59</v>
      </c>
      <c r="CU17" s="22">
        <v>0</v>
      </c>
      <c r="CV17" s="22">
        <v>1</v>
      </c>
      <c r="CW17" s="22">
        <v>0</v>
      </c>
      <c r="CX17" s="22">
        <v>1</v>
      </c>
      <c r="CY17" s="22">
        <v>0</v>
      </c>
      <c r="CZ17" s="22">
        <v>6</v>
      </c>
      <c r="DA17" s="22">
        <v>1</v>
      </c>
      <c r="DB17" s="22">
        <v>1</v>
      </c>
      <c r="DC17" s="22">
        <v>1</v>
      </c>
      <c r="DD17" s="22">
        <v>1</v>
      </c>
      <c r="DE17" s="22">
        <v>0</v>
      </c>
      <c r="DF17" s="22">
        <v>1</v>
      </c>
      <c r="DG17" s="47">
        <v>1</v>
      </c>
      <c r="DH17" s="47">
        <v>15305.49</v>
      </c>
      <c r="DI17" s="47"/>
      <c r="DJ17" s="47">
        <v>855</v>
      </c>
      <c r="DL17" s="22">
        <v>1417.96</v>
      </c>
      <c r="DM17" s="22">
        <v>425.39</v>
      </c>
      <c r="DN17" s="22">
        <v>0</v>
      </c>
      <c r="DO17" s="22">
        <v>141.8</v>
      </c>
      <c r="DP17" s="22">
        <v>425.39</v>
      </c>
      <c r="DQ17" s="22">
        <v>0</v>
      </c>
      <c r="DR17" s="22">
        <v>425.39</v>
      </c>
      <c r="DT17" s="22" t="s">
        <v>60</v>
      </c>
      <c r="GD17" s="22">
        <v>3</v>
      </c>
      <c r="GE17" s="22" t="s">
        <v>61</v>
      </c>
      <c r="GF17" s="22">
        <v>15245</v>
      </c>
      <c r="GG17" s="22" t="s">
        <v>21</v>
      </c>
      <c r="GH17" s="22">
        <v>1</v>
      </c>
      <c r="GI17" s="22" t="s">
        <v>62</v>
      </c>
      <c r="GJ17" s="22">
        <v>0</v>
      </c>
      <c r="GK17" s="22">
        <v>1</v>
      </c>
      <c r="GL17" s="22">
        <v>1</v>
      </c>
      <c r="GM17" s="22">
        <v>1</v>
      </c>
      <c r="GN17" s="22">
        <v>0</v>
      </c>
      <c r="GO17" s="22">
        <v>4</v>
      </c>
      <c r="GP17" s="22">
        <v>1</v>
      </c>
      <c r="GQ17" s="22">
        <v>1</v>
      </c>
      <c r="GR17" s="22">
        <v>0</v>
      </c>
      <c r="GS17" s="22">
        <v>0</v>
      </c>
      <c r="GT17" s="22">
        <v>1</v>
      </c>
      <c r="GU17" s="22">
        <v>1</v>
      </c>
      <c r="GV17" s="47">
        <v>0</v>
      </c>
      <c r="GW17" s="47">
        <v>4753.27</v>
      </c>
      <c r="GX17" s="47"/>
      <c r="GY17" s="47">
        <v>846.73</v>
      </c>
      <c r="HA17" s="22">
        <v>805.84</v>
      </c>
      <c r="HB17" s="22">
        <v>0</v>
      </c>
      <c r="HC17" s="22">
        <v>0</v>
      </c>
      <c r="HD17" s="22">
        <v>80.58</v>
      </c>
      <c r="HE17" s="22">
        <v>0</v>
      </c>
      <c r="HF17" s="22">
        <v>241.75</v>
      </c>
      <c r="HG17" s="22">
        <v>483.5</v>
      </c>
      <c r="HI17" s="22" t="s">
        <v>29</v>
      </c>
    </row>
    <row r="18" spans="2:94" s="22" customFormat="1" ht="19.5" thickBot="1" thickTop="1">
      <c r="B18" s="56">
        <v>14</v>
      </c>
      <c r="C18" s="65">
        <v>15016</v>
      </c>
      <c r="D18" s="65" t="s">
        <v>21</v>
      </c>
      <c r="E18" s="65">
        <v>7</v>
      </c>
      <c r="F18" s="65" t="s">
        <v>133</v>
      </c>
      <c r="G18" s="66">
        <v>0</v>
      </c>
      <c r="H18" s="66">
        <v>1</v>
      </c>
      <c r="I18" s="66">
        <v>1</v>
      </c>
      <c r="J18" s="66">
        <v>1</v>
      </c>
      <c r="K18" s="56">
        <v>0</v>
      </c>
      <c r="L18" s="56">
        <v>5</v>
      </c>
      <c r="M18" s="56">
        <v>1</v>
      </c>
      <c r="N18" s="66">
        <v>1</v>
      </c>
      <c r="O18" s="66">
        <v>1</v>
      </c>
      <c r="P18" s="66">
        <v>0</v>
      </c>
      <c r="Q18" s="66">
        <v>1</v>
      </c>
      <c r="R18" s="66">
        <v>0</v>
      </c>
      <c r="S18" s="66">
        <v>0</v>
      </c>
      <c r="T18" s="74">
        <f>1181.7+4754.88+8773.92</f>
        <v>14710.5</v>
      </c>
      <c r="U18" s="74"/>
      <c r="V18" s="74">
        <f>8047.5+8773.99-T18</f>
        <v>2110.989999999998</v>
      </c>
      <c r="W18" s="74"/>
      <c r="X18" s="76"/>
      <c r="Y18" s="76"/>
      <c r="Z18" s="69">
        <f t="shared" si="0"/>
        <v>1893.2479999999996</v>
      </c>
      <c r="AA18" s="69">
        <f t="shared" si="1"/>
        <v>567.9743999999998</v>
      </c>
      <c r="AB18" s="69">
        <f t="shared" si="2"/>
        <v>0</v>
      </c>
      <c r="AC18" s="69">
        <f t="shared" si="3"/>
        <v>0</v>
      </c>
      <c r="AD18" s="69">
        <f t="shared" si="4"/>
        <v>0</v>
      </c>
      <c r="AE18" s="69">
        <f t="shared" si="5"/>
        <v>567.9743999999998</v>
      </c>
      <c r="AF18" s="69">
        <f t="shared" si="6"/>
        <v>757.2991999999999</v>
      </c>
      <c r="AG18" s="70">
        <v>55.5</v>
      </c>
      <c r="AH18" s="78" t="s">
        <v>23</v>
      </c>
      <c r="AI18" s="78"/>
      <c r="AJ18" s="20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</row>
    <row r="19" spans="2:94" s="22" customFormat="1" ht="19.5" thickBot="1" thickTop="1">
      <c r="B19" s="56">
        <v>15</v>
      </c>
      <c r="C19" s="72">
        <v>15456</v>
      </c>
      <c r="D19" s="72" t="s">
        <v>21</v>
      </c>
      <c r="E19" s="72">
        <v>3</v>
      </c>
      <c r="F19" s="72" t="s">
        <v>199</v>
      </c>
      <c r="G19" s="56">
        <v>0</v>
      </c>
      <c r="H19" s="56">
        <v>1</v>
      </c>
      <c r="I19" s="56">
        <v>0</v>
      </c>
      <c r="J19" s="56">
        <v>1</v>
      </c>
      <c r="K19" s="56">
        <v>0</v>
      </c>
      <c r="L19" s="56">
        <v>5</v>
      </c>
      <c r="M19" s="56">
        <v>1</v>
      </c>
      <c r="N19" s="56">
        <v>1</v>
      </c>
      <c r="O19" s="56">
        <v>1</v>
      </c>
      <c r="P19" s="56">
        <v>0</v>
      </c>
      <c r="Q19" s="56">
        <v>1</v>
      </c>
      <c r="R19" s="56">
        <v>0</v>
      </c>
      <c r="S19" s="56">
        <v>0</v>
      </c>
      <c r="T19" s="74">
        <v>18759.02</v>
      </c>
      <c r="U19" s="74"/>
      <c r="V19" s="74">
        <f>18851.65+3146.5-T19</f>
        <v>3239.130000000001</v>
      </c>
      <c r="W19" s="74"/>
      <c r="X19" s="76"/>
      <c r="Y19" s="76"/>
      <c r="Z19" s="69">
        <f t="shared" si="0"/>
        <v>2523.728</v>
      </c>
      <c r="AA19" s="69">
        <f t="shared" si="1"/>
        <v>757.1184</v>
      </c>
      <c r="AB19" s="69">
        <f t="shared" si="2"/>
        <v>0</v>
      </c>
      <c r="AC19" s="69">
        <f t="shared" si="3"/>
        <v>0</v>
      </c>
      <c r="AD19" s="69">
        <f t="shared" si="4"/>
        <v>0</v>
      </c>
      <c r="AE19" s="69">
        <f t="shared" si="5"/>
        <v>0</v>
      </c>
      <c r="AF19" s="69">
        <f t="shared" si="6"/>
        <v>1766.6096000000002</v>
      </c>
      <c r="AG19" s="70">
        <v>55.5</v>
      </c>
      <c r="AH19" s="80" t="s">
        <v>43</v>
      </c>
      <c r="AI19" s="80"/>
      <c r="AJ19" s="20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</row>
    <row r="20" spans="2:94" s="22" customFormat="1" ht="19.5" thickBot="1" thickTop="1">
      <c r="B20" s="56">
        <v>16</v>
      </c>
      <c r="C20" s="65">
        <v>2030</v>
      </c>
      <c r="D20" s="65" t="s">
        <v>20</v>
      </c>
      <c r="E20" s="65">
        <v>9</v>
      </c>
      <c r="F20" s="65" t="s">
        <v>143</v>
      </c>
      <c r="G20" s="66">
        <v>0</v>
      </c>
      <c r="H20" s="66">
        <v>1</v>
      </c>
      <c r="I20" s="56">
        <v>1</v>
      </c>
      <c r="J20" s="66">
        <v>1</v>
      </c>
      <c r="K20" s="56">
        <v>0</v>
      </c>
      <c r="L20" s="56">
        <v>3</v>
      </c>
      <c r="M20" s="56">
        <v>1</v>
      </c>
      <c r="N20" s="66">
        <v>1</v>
      </c>
      <c r="O20" s="66">
        <v>0</v>
      </c>
      <c r="P20" s="66">
        <v>0</v>
      </c>
      <c r="Q20" s="66">
        <v>0</v>
      </c>
      <c r="R20" s="66">
        <v>1</v>
      </c>
      <c r="S20" s="66">
        <v>0</v>
      </c>
      <c r="T20" s="74">
        <v>1758.24</v>
      </c>
      <c r="U20" s="74"/>
      <c r="V20" s="74">
        <f>8716-T20</f>
        <v>6957.76</v>
      </c>
      <c r="W20" s="74"/>
      <c r="X20" s="74"/>
      <c r="Y20" s="74"/>
      <c r="Z20" s="69">
        <f t="shared" si="0"/>
        <v>2612.2933333333335</v>
      </c>
      <c r="AA20" s="69">
        <f t="shared" si="1"/>
        <v>0</v>
      </c>
      <c r="AB20" s="69">
        <f t="shared" si="2"/>
        <v>0</v>
      </c>
      <c r="AC20" s="69">
        <f t="shared" si="3"/>
        <v>261.2293333333334</v>
      </c>
      <c r="AD20" s="69">
        <f t="shared" si="4"/>
        <v>0</v>
      </c>
      <c r="AE20" s="69">
        <f t="shared" si="5"/>
        <v>783.688</v>
      </c>
      <c r="AF20" s="69">
        <f t="shared" si="6"/>
        <v>1567.3760000000002</v>
      </c>
      <c r="AG20" s="79">
        <v>55</v>
      </c>
      <c r="AH20" s="78" t="s">
        <v>33</v>
      </c>
      <c r="AI20" s="78"/>
      <c r="AJ20" s="20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</row>
    <row r="21" spans="2:94" s="22" customFormat="1" ht="19.5" thickBot="1" thickTop="1">
      <c r="B21" s="56">
        <v>17</v>
      </c>
      <c r="C21" s="65">
        <v>2361</v>
      </c>
      <c r="D21" s="65" t="s">
        <v>20</v>
      </c>
      <c r="E21" s="65">
        <v>5</v>
      </c>
      <c r="F21" s="65" t="s">
        <v>191</v>
      </c>
      <c r="G21" s="66">
        <v>0</v>
      </c>
      <c r="H21" s="66">
        <v>1</v>
      </c>
      <c r="I21" s="56">
        <v>1</v>
      </c>
      <c r="J21" s="66">
        <v>1</v>
      </c>
      <c r="K21" s="56">
        <v>0</v>
      </c>
      <c r="L21" s="56">
        <v>3</v>
      </c>
      <c r="M21" s="56">
        <v>1</v>
      </c>
      <c r="N21" s="66">
        <v>1</v>
      </c>
      <c r="O21" s="66">
        <v>0</v>
      </c>
      <c r="P21" s="66">
        <v>1</v>
      </c>
      <c r="Q21" s="66">
        <v>0</v>
      </c>
      <c r="R21" s="66">
        <v>0</v>
      </c>
      <c r="S21" s="56">
        <v>0</v>
      </c>
      <c r="T21" s="74">
        <v>9144.16</v>
      </c>
      <c r="U21" s="74"/>
      <c r="V21" s="74">
        <f>4695.19+14243-T21</f>
        <v>9794.029999999999</v>
      </c>
      <c r="W21" s="74"/>
      <c r="X21" s="74"/>
      <c r="Y21" s="74"/>
      <c r="Z21" s="69">
        <f t="shared" si="0"/>
        <v>4788.703333333333</v>
      </c>
      <c r="AA21" s="69">
        <f t="shared" si="1"/>
        <v>0</v>
      </c>
      <c r="AB21" s="69">
        <f t="shared" si="2"/>
        <v>0</v>
      </c>
      <c r="AC21" s="69">
        <f t="shared" si="3"/>
        <v>0</v>
      </c>
      <c r="AD21" s="69">
        <f t="shared" si="4"/>
        <v>0</v>
      </c>
      <c r="AE21" s="69">
        <f t="shared" si="5"/>
        <v>1436.6109999999999</v>
      </c>
      <c r="AF21" s="69">
        <f t="shared" si="6"/>
        <v>3352.092333333333</v>
      </c>
      <c r="AG21" s="75">
        <v>55</v>
      </c>
      <c r="AH21" s="71" t="s">
        <v>39</v>
      </c>
      <c r="AI21" s="71"/>
      <c r="AJ21" s="20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</row>
    <row r="22" spans="2:94" s="22" customFormat="1" ht="19.5" thickBot="1" thickTop="1">
      <c r="B22" s="56">
        <v>18</v>
      </c>
      <c r="C22" s="65">
        <v>2071</v>
      </c>
      <c r="D22" s="65" t="s">
        <v>20</v>
      </c>
      <c r="E22" s="65">
        <v>9</v>
      </c>
      <c r="F22" s="65" t="s">
        <v>147</v>
      </c>
      <c r="G22" s="66">
        <v>0</v>
      </c>
      <c r="H22" s="66">
        <v>1</v>
      </c>
      <c r="I22" s="66">
        <v>1</v>
      </c>
      <c r="J22" s="66">
        <v>1</v>
      </c>
      <c r="K22" s="56">
        <v>0</v>
      </c>
      <c r="L22" s="56">
        <v>3</v>
      </c>
      <c r="M22" s="56">
        <v>1</v>
      </c>
      <c r="N22" s="66">
        <v>1</v>
      </c>
      <c r="O22" s="66">
        <v>0</v>
      </c>
      <c r="P22" s="66">
        <v>0</v>
      </c>
      <c r="Q22" s="66">
        <v>1</v>
      </c>
      <c r="R22" s="66">
        <v>0</v>
      </c>
      <c r="S22" s="66">
        <v>0</v>
      </c>
      <c r="T22" s="74">
        <v>2436.58</v>
      </c>
      <c r="U22" s="74"/>
      <c r="V22" s="74">
        <f>4800+5524-T22</f>
        <v>7887.42</v>
      </c>
      <c r="W22" s="74"/>
      <c r="X22" s="74"/>
      <c r="Y22" s="74"/>
      <c r="Z22" s="69">
        <f t="shared" si="0"/>
        <v>3035.236666666666</v>
      </c>
      <c r="AA22" s="69">
        <f t="shared" si="1"/>
        <v>0</v>
      </c>
      <c r="AB22" s="69">
        <f t="shared" si="2"/>
        <v>0</v>
      </c>
      <c r="AC22" s="69">
        <f t="shared" si="3"/>
        <v>0</v>
      </c>
      <c r="AD22" s="69">
        <f t="shared" si="4"/>
        <v>0</v>
      </c>
      <c r="AE22" s="69">
        <f t="shared" si="5"/>
        <v>910.5709999999998</v>
      </c>
      <c r="AF22" s="69">
        <f t="shared" si="6"/>
        <v>2124.6656666666663</v>
      </c>
      <c r="AG22" s="75">
        <v>53</v>
      </c>
      <c r="AH22" s="71" t="s">
        <v>39</v>
      </c>
      <c r="AI22" s="82"/>
      <c r="AJ22" s="20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</row>
    <row r="23" spans="2:94" s="22" customFormat="1" ht="19.5" thickBot="1" thickTop="1">
      <c r="B23" s="56">
        <v>19</v>
      </c>
      <c r="C23" s="72">
        <v>15427</v>
      </c>
      <c r="D23" s="72" t="s">
        <v>21</v>
      </c>
      <c r="E23" s="72">
        <v>3</v>
      </c>
      <c r="F23" s="72" t="s">
        <v>212</v>
      </c>
      <c r="G23" s="56">
        <v>0</v>
      </c>
      <c r="H23" s="56">
        <v>1</v>
      </c>
      <c r="I23" s="56">
        <v>1</v>
      </c>
      <c r="J23" s="56">
        <v>1</v>
      </c>
      <c r="K23" s="56">
        <v>0</v>
      </c>
      <c r="L23" s="56">
        <v>5</v>
      </c>
      <c r="M23" s="56">
        <v>1</v>
      </c>
      <c r="N23" s="56">
        <v>1</v>
      </c>
      <c r="O23" s="56">
        <v>0</v>
      </c>
      <c r="P23" s="56">
        <v>0</v>
      </c>
      <c r="Q23" s="56">
        <v>1</v>
      </c>
      <c r="R23" s="56">
        <v>0</v>
      </c>
      <c r="S23" s="56">
        <v>0</v>
      </c>
      <c r="T23" s="74">
        <v>4253.4</v>
      </c>
      <c r="U23" s="74"/>
      <c r="V23" s="74">
        <f>12000-T23</f>
        <v>7746.6</v>
      </c>
      <c r="W23" s="74"/>
      <c r="X23" s="76"/>
      <c r="Y23" s="76"/>
      <c r="Z23" s="69">
        <f t="shared" si="0"/>
        <v>1974.6599999999999</v>
      </c>
      <c r="AA23" s="69">
        <f t="shared" si="1"/>
        <v>0</v>
      </c>
      <c r="AB23" s="69">
        <f t="shared" si="2"/>
        <v>0</v>
      </c>
      <c r="AC23" s="69">
        <f t="shared" si="3"/>
        <v>0</v>
      </c>
      <c r="AD23" s="69">
        <f t="shared" si="4"/>
        <v>0</v>
      </c>
      <c r="AE23" s="69">
        <f t="shared" si="5"/>
        <v>592.3979999999999</v>
      </c>
      <c r="AF23" s="69">
        <f t="shared" si="6"/>
        <v>1382.262</v>
      </c>
      <c r="AG23" s="70">
        <v>53</v>
      </c>
      <c r="AH23" s="80" t="s">
        <v>35</v>
      </c>
      <c r="AI23" s="71"/>
      <c r="AJ23" s="20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</row>
    <row r="24" spans="2:94" s="22" customFormat="1" ht="19.5" thickBot="1" thickTop="1">
      <c r="B24" s="56">
        <v>20</v>
      </c>
      <c r="C24" s="72">
        <v>15047</v>
      </c>
      <c r="D24" s="72" t="s">
        <v>24</v>
      </c>
      <c r="E24" s="72">
        <v>7</v>
      </c>
      <c r="F24" s="72" t="s">
        <v>138</v>
      </c>
      <c r="G24" s="56">
        <v>0</v>
      </c>
      <c r="H24" s="56">
        <v>1</v>
      </c>
      <c r="I24" s="56">
        <v>1</v>
      </c>
      <c r="J24" s="56">
        <v>1</v>
      </c>
      <c r="K24" s="56">
        <v>0</v>
      </c>
      <c r="L24" s="56">
        <v>4</v>
      </c>
      <c r="M24" s="56">
        <v>1</v>
      </c>
      <c r="N24" s="56">
        <v>1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74"/>
      <c r="U24" s="74"/>
      <c r="V24" s="74">
        <v>3620</v>
      </c>
      <c r="W24" s="74"/>
      <c r="X24" s="76"/>
      <c r="Y24" s="76"/>
      <c r="Z24" s="69">
        <f t="shared" si="0"/>
        <v>905</v>
      </c>
      <c r="AA24" s="69">
        <f t="shared" si="1"/>
        <v>0</v>
      </c>
      <c r="AB24" s="69">
        <f t="shared" si="2"/>
        <v>0</v>
      </c>
      <c r="AC24" s="69">
        <f t="shared" si="3"/>
        <v>0</v>
      </c>
      <c r="AD24" s="69">
        <f t="shared" si="4"/>
        <v>0</v>
      </c>
      <c r="AE24" s="69">
        <f t="shared" si="5"/>
        <v>271.5</v>
      </c>
      <c r="AF24" s="69">
        <f t="shared" si="6"/>
        <v>633.5</v>
      </c>
      <c r="AG24" s="70">
        <v>51.5</v>
      </c>
      <c r="AH24" s="71" t="s">
        <v>22</v>
      </c>
      <c r="AI24" s="85"/>
      <c r="AJ24" s="20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</row>
    <row r="25" spans="2:94" s="22" customFormat="1" ht="19.5" thickBot="1" thickTop="1">
      <c r="B25" s="56">
        <v>21</v>
      </c>
      <c r="C25" s="65">
        <v>15278</v>
      </c>
      <c r="D25" s="65" t="s">
        <v>21</v>
      </c>
      <c r="E25" s="65">
        <v>5</v>
      </c>
      <c r="F25" s="65" t="s">
        <v>113</v>
      </c>
      <c r="G25" s="66">
        <v>0</v>
      </c>
      <c r="H25" s="66">
        <v>1</v>
      </c>
      <c r="I25" s="66">
        <v>1</v>
      </c>
      <c r="J25" s="66">
        <v>1</v>
      </c>
      <c r="K25" s="56">
        <v>0</v>
      </c>
      <c r="L25" s="56">
        <v>6</v>
      </c>
      <c r="M25" s="56">
        <v>1</v>
      </c>
      <c r="N25" s="66">
        <v>1</v>
      </c>
      <c r="O25" s="66">
        <v>0</v>
      </c>
      <c r="P25" s="66">
        <v>1</v>
      </c>
      <c r="Q25" s="66">
        <v>0</v>
      </c>
      <c r="R25" s="66">
        <v>0</v>
      </c>
      <c r="S25" s="66">
        <v>0</v>
      </c>
      <c r="T25" s="74"/>
      <c r="U25" s="74"/>
      <c r="V25" s="74">
        <f>12000+4320</f>
        <v>16320</v>
      </c>
      <c r="W25" s="74"/>
      <c r="X25" s="74"/>
      <c r="Y25" s="74"/>
      <c r="Z25" s="69">
        <f t="shared" si="0"/>
        <v>2720</v>
      </c>
      <c r="AA25" s="69">
        <f t="shared" si="1"/>
        <v>0</v>
      </c>
      <c r="AB25" s="69">
        <f t="shared" si="2"/>
        <v>0</v>
      </c>
      <c r="AC25" s="69">
        <f t="shared" si="3"/>
        <v>0</v>
      </c>
      <c r="AD25" s="69">
        <f t="shared" si="4"/>
        <v>0</v>
      </c>
      <c r="AE25" s="69">
        <f t="shared" si="5"/>
        <v>816</v>
      </c>
      <c r="AF25" s="69">
        <f t="shared" si="6"/>
        <v>1904</v>
      </c>
      <c r="AG25" s="75">
        <v>50.5</v>
      </c>
      <c r="AH25" s="80" t="s">
        <v>68</v>
      </c>
      <c r="AI25" s="78"/>
      <c r="AJ25" s="20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</row>
    <row r="26" spans="2:94" s="51" customFormat="1" ht="19.5" thickBot="1" thickTop="1">
      <c r="B26" s="56">
        <v>22</v>
      </c>
      <c r="C26" s="72">
        <v>2333</v>
      </c>
      <c r="D26" s="81" t="s">
        <v>20</v>
      </c>
      <c r="E26" s="72">
        <v>5</v>
      </c>
      <c r="F26" s="72" t="s">
        <v>159</v>
      </c>
      <c r="G26" s="56">
        <v>0</v>
      </c>
      <c r="H26" s="56">
        <v>1</v>
      </c>
      <c r="I26" s="56">
        <v>0</v>
      </c>
      <c r="J26" s="56">
        <v>1</v>
      </c>
      <c r="K26" s="56">
        <v>0</v>
      </c>
      <c r="L26" s="56">
        <v>4</v>
      </c>
      <c r="M26" s="56">
        <v>1</v>
      </c>
      <c r="N26" s="56">
        <v>1</v>
      </c>
      <c r="O26" s="56">
        <v>0</v>
      </c>
      <c r="P26" s="56">
        <v>0</v>
      </c>
      <c r="Q26" s="56">
        <v>0</v>
      </c>
      <c r="R26" s="56">
        <v>0</v>
      </c>
      <c r="S26" s="56">
        <v>1</v>
      </c>
      <c r="T26" s="74">
        <v>5547.56</v>
      </c>
      <c r="U26" s="74"/>
      <c r="V26" s="74">
        <v>5100</v>
      </c>
      <c r="W26" s="74"/>
      <c r="X26" s="74"/>
      <c r="Y26" s="74"/>
      <c r="Z26" s="69">
        <f t="shared" si="0"/>
        <v>1968.4450000000002</v>
      </c>
      <c r="AA26" s="69">
        <f t="shared" si="1"/>
        <v>0</v>
      </c>
      <c r="AB26" s="69">
        <f t="shared" si="2"/>
        <v>0</v>
      </c>
      <c r="AC26" s="69">
        <f t="shared" si="3"/>
        <v>0</v>
      </c>
      <c r="AD26" s="69">
        <f t="shared" si="4"/>
        <v>590.5335</v>
      </c>
      <c r="AE26" s="69">
        <f t="shared" si="5"/>
        <v>0</v>
      </c>
      <c r="AF26" s="69">
        <f t="shared" si="6"/>
        <v>1377.9115000000002</v>
      </c>
      <c r="AG26" s="79">
        <v>50</v>
      </c>
      <c r="AH26" s="80" t="s">
        <v>38</v>
      </c>
      <c r="AI26" s="86"/>
      <c r="AJ26" s="57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</row>
    <row r="27" spans="2:94" s="22" customFormat="1" ht="19.5" thickBot="1" thickTop="1">
      <c r="B27" s="56">
        <v>23</v>
      </c>
      <c r="C27" s="72">
        <v>15395</v>
      </c>
      <c r="D27" s="72" t="s">
        <v>21</v>
      </c>
      <c r="E27" s="72">
        <v>3</v>
      </c>
      <c r="F27" s="72" t="s">
        <v>217</v>
      </c>
      <c r="G27" s="56">
        <v>0</v>
      </c>
      <c r="H27" s="56">
        <v>1</v>
      </c>
      <c r="I27" s="56">
        <v>0</v>
      </c>
      <c r="J27" s="56">
        <v>1</v>
      </c>
      <c r="K27" s="56">
        <v>0</v>
      </c>
      <c r="L27" s="56">
        <v>5</v>
      </c>
      <c r="M27" s="56">
        <v>1</v>
      </c>
      <c r="N27" s="56">
        <v>1</v>
      </c>
      <c r="O27" s="56">
        <v>0</v>
      </c>
      <c r="P27" s="56">
        <v>0</v>
      </c>
      <c r="Q27" s="56">
        <v>1</v>
      </c>
      <c r="R27" s="56">
        <v>0</v>
      </c>
      <c r="S27" s="56">
        <v>0</v>
      </c>
      <c r="T27" s="74">
        <f>10876.2+844.19</f>
        <v>11720.390000000001</v>
      </c>
      <c r="U27" s="74"/>
      <c r="V27" s="74">
        <f>10878.35+4500-T27</f>
        <v>3657.959999999999</v>
      </c>
      <c r="W27" s="74"/>
      <c r="X27" s="74"/>
      <c r="Y27" s="74"/>
      <c r="Z27" s="69">
        <f t="shared" si="0"/>
        <v>1903.6309999999999</v>
      </c>
      <c r="AA27" s="69">
        <f t="shared" si="1"/>
        <v>0</v>
      </c>
      <c r="AB27" s="69">
        <f t="shared" si="2"/>
        <v>0</v>
      </c>
      <c r="AC27" s="69">
        <f t="shared" si="3"/>
        <v>0</v>
      </c>
      <c r="AD27" s="69">
        <f t="shared" si="4"/>
        <v>0</v>
      </c>
      <c r="AE27" s="69">
        <f t="shared" si="5"/>
        <v>0</v>
      </c>
      <c r="AF27" s="69">
        <f t="shared" si="6"/>
        <v>1903.6309999999999</v>
      </c>
      <c r="AG27" s="70">
        <v>50</v>
      </c>
      <c r="AH27" s="83" t="s">
        <v>97</v>
      </c>
      <c r="AI27" s="83"/>
      <c r="AJ27" s="20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</row>
    <row r="28" spans="2:94" s="22" customFormat="1" ht="19.5" thickBot="1" thickTop="1">
      <c r="B28" s="56">
        <v>24</v>
      </c>
      <c r="C28" s="72">
        <v>15513</v>
      </c>
      <c r="D28" s="72" t="s">
        <v>21</v>
      </c>
      <c r="E28" s="72">
        <v>3</v>
      </c>
      <c r="F28" s="72" t="s">
        <v>203</v>
      </c>
      <c r="G28" s="56">
        <v>0</v>
      </c>
      <c r="H28" s="56">
        <v>1</v>
      </c>
      <c r="I28" s="56">
        <v>0</v>
      </c>
      <c r="J28" s="56">
        <v>1</v>
      </c>
      <c r="K28" s="56">
        <v>0</v>
      </c>
      <c r="L28" s="56">
        <v>5</v>
      </c>
      <c r="M28" s="56">
        <v>1</v>
      </c>
      <c r="N28" s="56">
        <v>1</v>
      </c>
      <c r="O28" s="56">
        <v>1</v>
      </c>
      <c r="P28" s="56">
        <v>0</v>
      </c>
      <c r="Q28" s="56">
        <v>1</v>
      </c>
      <c r="R28" s="56">
        <v>0</v>
      </c>
      <c r="S28" s="56">
        <v>0</v>
      </c>
      <c r="T28" s="74">
        <f>5147.02+5173.89+417.1</f>
        <v>10738.01</v>
      </c>
      <c r="U28" s="74"/>
      <c r="V28" s="74">
        <f>9499+6196.9-T28</f>
        <v>4957.889999999999</v>
      </c>
      <c r="W28" s="67"/>
      <c r="X28" s="67"/>
      <c r="Y28" s="67"/>
      <c r="Z28" s="69">
        <f t="shared" si="0"/>
        <v>2065.379</v>
      </c>
      <c r="AA28" s="69">
        <f t="shared" si="1"/>
        <v>619.6137</v>
      </c>
      <c r="AB28" s="69">
        <f t="shared" si="2"/>
        <v>0</v>
      </c>
      <c r="AC28" s="69">
        <f t="shared" si="3"/>
        <v>0</v>
      </c>
      <c r="AD28" s="69">
        <f t="shared" si="4"/>
        <v>0</v>
      </c>
      <c r="AE28" s="69">
        <f t="shared" si="5"/>
        <v>0</v>
      </c>
      <c r="AF28" s="69">
        <f t="shared" si="6"/>
        <v>1445.7653</v>
      </c>
      <c r="AG28" s="70">
        <v>48.5</v>
      </c>
      <c r="AH28" s="80" t="s">
        <v>92</v>
      </c>
      <c r="AI28" s="80"/>
      <c r="AJ28" s="20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</row>
    <row r="29" spans="2:94" s="22" customFormat="1" ht="19.5" thickBot="1" thickTop="1">
      <c r="B29" s="56">
        <v>25</v>
      </c>
      <c r="C29" s="65">
        <v>15087</v>
      </c>
      <c r="D29" s="65" t="s">
        <v>21</v>
      </c>
      <c r="E29" s="65">
        <v>7</v>
      </c>
      <c r="F29" s="65" t="s">
        <v>190</v>
      </c>
      <c r="G29" s="66">
        <v>0</v>
      </c>
      <c r="H29" s="66">
        <v>1</v>
      </c>
      <c r="I29" s="66">
        <v>0</v>
      </c>
      <c r="J29" s="66">
        <v>1</v>
      </c>
      <c r="K29" s="56">
        <v>0</v>
      </c>
      <c r="L29" s="56">
        <v>4</v>
      </c>
      <c r="M29" s="56">
        <v>1</v>
      </c>
      <c r="N29" s="66">
        <v>1</v>
      </c>
      <c r="O29" s="66">
        <v>1</v>
      </c>
      <c r="P29" s="66">
        <v>0</v>
      </c>
      <c r="Q29" s="66">
        <v>1</v>
      </c>
      <c r="R29" s="66">
        <v>0</v>
      </c>
      <c r="S29" s="66">
        <v>0</v>
      </c>
      <c r="T29" s="74">
        <v>5040</v>
      </c>
      <c r="U29" s="74"/>
      <c r="V29" s="74">
        <f>5860-T29</f>
        <v>820</v>
      </c>
      <c r="W29" s="74"/>
      <c r="X29" s="74"/>
      <c r="Y29" s="74"/>
      <c r="Z29" s="69">
        <f t="shared" si="0"/>
        <v>835</v>
      </c>
      <c r="AA29" s="69">
        <f t="shared" si="1"/>
        <v>250.5</v>
      </c>
      <c r="AB29" s="69">
        <f t="shared" si="2"/>
        <v>0</v>
      </c>
      <c r="AC29" s="69">
        <f t="shared" si="3"/>
        <v>0</v>
      </c>
      <c r="AD29" s="69">
        <f t="shared" si="4"/>
        <v>0</v>
      </c>
      <c r="AE29" s="69">
        <f t="shared" si="5"/>
        <v>0</v>
      </c>
      <c r="AF29" s="69">
        <f t="shared" si="6"/>
        <v>584.5</v>
      </c>
      <c r="AG29" s="75">
        <v>47.5</v>
      </c>
      <c r="AH29" s="71" t="s">
        <v>85</v>
      </c>
      <c r="AI29" s="71"/>
      <c r="AJ29" s="20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</row>
    <row r="30" spans="2:94" s="22" customFormat="1" ht="19.5" thickBot="1" thickTop="1">
      <c r="B30" s="56">
        <v>26</v>
      </c>
      <c r="C30" s="65">
        <v>15237</v>
      </c>
      <c r="D30" s="65" t="s">
        <v>24</v>
      </c>
      <c r="E30" s="65">
        <v>5</v>
      </c>
      <c r="F30" s="65" t="s">
        <v>188</v>
      </c>
      <c r="G30" s="66">
        <v>0</v>
      </c>
      <c r="H30" s="66">
        <v>1</v>
      </c>
      <c r="I30" s="56">
        <v>1</v>
      </c>
      <c r="J30" s="66">
        <v>1</v>
      </c>
      <c r="K30" s="56">
        <v>0</v>
      </c>
      <c r="L30" s="56">
        <v>4</v>
      </c>
      <c r="M30" s="56">
        <v>1</v>
      </c>
      <c r="N30" s="66">
        <v>1</v>
      </c>
      <c r="O30" s="66">
        <v>0</v>
      </c>
      <c r="P30" s="66">
        <v>0</v>
      </c>
      <c r="Q30" s="66">
        <v>0</v>
      </c>
      <c r="R30" s="66">
        <v>0</v>
      </c>
      <c r="S30" s="56">
        <v>0</v>
      </c>
      <c r="T30" s="74">
        <f>973.83+5855.04+2162.47</f>
        <v>8991.34</v>
      </c>
      <c r="U30" s="74"/>
      <c r="V30" s="74">
        <f>7900+7264.43-T30</f>
        <v>6173.09</v>
      </c>
      <c r="W30" s="74"/>
      <c r="X30" s="74"/>
      <c r="Y30" s="74"/>
      <c r="Z30" s="69">
        <f t="shared" si="0"/>
        <v>2667.19</v>
      </c>
      <c r="AA30" s="69">
        <f t="shared" si="1"/>
        <v>0</v>
      </c>
      <c r="AB30" s="69">
        <f t="shared" si="2"/>
        <v>0</v>
      </c>
      <c r="AC30" s="69">
        <f t="shared" si="3"/>
        <v>0</v>
      </c>
      <c r="AD30" s="69">
        <f t="shared" si="4"/>
        <v>0</v>
      </c>
      <c r="AE30" s="69">
        <f t="shared" si="5"/>
        <v>800.157</v>
      </c>
      <c r="AF30" s="69">
        <f t="shared" si="6"/>
        <v>1867.033</v>
      </c>
      <c r="AG30" s="75">
        <v>46.5</v>
      </c>
      <c r="AH30" s="71" t="s">
        <v>83</v>
      </c>
      <c r="AI30" s="71"/>
      <c r="AJ30" s="20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</row>
    <row r="31" spans="2:94" s="22" customFormat="1" ht="19.5" thickBot="1" thickTop="1">
      <c r="B31" s="56">
        <v>27</v>
      </c>
      <c r="C31" s="65">
        <v>13935</v>
      </c>
      <c r="D31" s="65" t="s">
        <v>24</v>
      </c>
      <c r="E31" s="65">
        <v>9</v>
      </c>
      <c r="F31" s="65" t="s">
        <v>184</v>
      </c>
      <c r="G31" s="66">
        <v>0</v>
      </c>
      <c r="H31" s="66">
        <v>1</v>
      </c>
      <c r="I31" s="56">
        <v>0</v>
      </c>
      <c r="J31" s="66">
        <v>1</v>
      </c>
      <c r="K31" s="56">
        <v>0</v>
      </c>
      <c r="L31" s="56">
        <v>3</v>
      </c>
      <c r="M31" s="56">
        <v>1</v>
      </c>
      <c r="N31" s="66">
        <v>1</v>
      </c>
      <c r="O31" s="66">
        <v>0</v>
      </c>
      <c r="P31" s="66">
        <v>0</v>
      </c>
      <c r="Q31" s="66">
        <v>0</v>
      </c>
      <c r="R31" s="66">
        <v>0</v>
      </c>
      <c r="S31" s="56">
        <v>1</v>
      </c>
      <c r="T31" s="74">
        <v>18862.753</v>
      </c>
      <c r="U31" s="74"/>
      <c r="V31" s="74">
        <f>18863.04+5551-T31</f>
        <v>5551.287</v>
      </c>
      <c r="W31" s="74"/>
      <c r="X31" s="74"/>
      <c r="Y31" s="74"/>
      <c r="Z31" s="69">
        <f t="shared" si="0"/>
        <v>4994.221166666667</v>
      </c>
      <c r="AA31" s="69">
        <f t="shared" si="1"/>
        <v>0</v>
      </c>
      <c r="AB31" s="69">
        <f t="shared" si="2"/>
        <v>0</v>
      </c>
      <c r="AC31" s="69">
        <f t="shared" si="3"/>
        <v>0</v>
      </c>
      <c r="AD31" s="69">
        <f t="shared" si="4"/>
        <v>1498.26635</v>
      </c>
      <c r="AE31" s="69">
        <f t="shared" si="5"/>
        <v>0</v>
      </c>
      <c r="AF31" s="69">
        <f t="shared" si="6"/>
        <v>3495.9548166666673</v>
      </c>
      <c r="AG31" s="75">
        <v>45.5</v>
      </c>
      <c r="AH31" s="71" t="s">
        <v>22</v>
      </c>
      <c r="AI31" s="71"/>
      <c r="AJ31" s="26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</row>
    <row r="32" spans="2:94" s="22" customFormat="1" ht="19.5" thickBot="1" thickTop="1">
      <c r="B32" s="56">
        <v>28</v>
      </c>
      <c r="C32" s="72">
        <v>15325</v>
      </c>
      <c r="D32" s="72" t="s">
        <v>21</v>
      </c>
      <c r="E32" s="72">
        <v>5</v>
      </c>
      <c r="F32" s="72" t="s">
        <v>161</v>
      </c>
      <c r="G32" s="56">
        <v>0</v>
      </c>
      <c r="H32" s="56">
        <v>1</v>
      </c>
      <c r="I32" s="56">
        <v>1</v>
      </c>
      <c r="J32" s="56">
        <v>1</v>
      </c>
      <c r="K32" s="56">
        <v>0</v>
      </c>
      <c r="L32" s="56">
        <v>3</v>
      </c>
      <c r="M32" s="56">
        <v>1</v>
      </c>
      <c r="N32" s="56">
        <v>1</v>
      </c>
      <c r="O32" s="56">
        <v>0</v>
      </c>
      <c r="P32" s="56">
        <v>1</v>
      </c>
      <c r="Q32" s="56">
        <v>0</v>
      </c>
      <c r="R32" s="56">
        <v>0</v>
      </c>
      <c r="S32" s="56">
        <v>0</v>
      </c>
      <c r="T32" s="74">
        <v>4503.82</v>
      </c>
      <c r="U32" s="74"/>
      <c r="V32" s="74">
        <v>2500</v>
      </c>
      <c r="W32" s="74"/>
      <c r="X32" s="74"/>
      <c r="Y32" s="74"/>
      <c r="Z32" s="69">
        <f t="shared" si="0"/>
        <v>1583.97</v>
      </c>
      <c r="AA32" s="69">
        <f t="shared" si="1"/>
        <v>0</v>
      </c>
      <c r="AB32" s="69">
        <f t="shared" si="2"/>
        <v>0</v>
      </c>
      <c r="AC32" s="69">
        <f t="shared" si="3"/>
        <v>0</v>
      </c>
      <c r="AD32" s="69">
        <f t="shared" si="4"/>
        <v>0</v>
      </c>
      <c r="AE32" s="69">
        <f t="shared" si="5"/>
        <v>475.191</v>
      </c>
      <c r="AF32" s="69">
        <f t="shared" si="6"/>
        <v>1108.779</v>
      </c>
      <c r="AG32" s="79">
        <v>45</v>
      </c>
      <c r="AH32" s="80" t="s">
        <v>65</v>
      </c>
      <c r="AI32" s="82"/>
      <c r="AJ32" s="26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</row>
    <row r="33" spans="2:94" s="22" customFormat="1" ht="19.5" thickBot="1" thickTop="1">
      <c r="B33" s="56">
        <v>29</v>
      </c>
      <c r="C33" s="65">
        <v>15100</v>
      </c>
      <c r="D33" s="65" t="s">
        <v>21</v>
      </c>
      <c r="E33" s="65">
        <v>7</v>
      </c>
      <c r="F33" s="65" t="s">
        <v>152</v>
      </c>
      <c r="G33" s="56">
        <v>0</v>
      </c>
      <c r="H33" s="66">
        <v>1</v>
      </c>
      <c r="I33" s="66">
        <v>0</v>
      </c>
      <c r="J33" s="66">
        <v>1</v>
      </c>
      <c r="K33" s="56">
        <v>0</v>
      </c>
      <c r="L33" s="56">
        <v>4</v>
      </c>
      <c r="M33" s="66">
        <v>1</v>
      </c>
      <c r="N33" s="66">
        <v>1</v>
      </c>
      <c r="O33" s="66">
        <v>0</v>
      </c>
      <c r="P33" s="66">
        <v>0</v>
      </c>
      <c r="Q33" s="66">
        <v>1</v>
      </c>
      <c r="R33" s="66">
        <v>0</v>
      </c>
      <c r="S33" s="66">
        <v>0</v>
      </c>
      <c r="T33" s="67">
        <f>16468.64+10225.05</f>
        <v>26693.69</v>
      </c>
      <c r="U33" s="67">
        <v>15</v>
      </c>
      <c r="V33" s="67">
        <f>16468.7+10243.58-T33-U33</f>
        <v>3.5900000000001455</v>
      </c>
      <c r="W33" s="67"/>
      <c r="X33" s="68"/>
      <c r="Y33" s="68"/>
      <c r="Z33" s="69">
        <f t="shared" si="0"/>
        <v>3340.79625</v>
      </c>
      <c r="AA33" s="69">
        <f t="shared" si="1"/>
        <v>0</v>
      </c>
      <c r="AB33" s="69">
        <f t="shared" si="2"/>
        <v>0</v>
      </c>
      <c r="AC33" s="69">
        <f t="shared" si="3"/>
        <v>0</v>
      </c>
      <c r="AD33" s="69">
        <f t="shared" si="4"/>
        <v>0</v>
      </c>
      <c r="AE33" s="69">
        <f t="shared" si="5"/>
        <v>0</v>
      </c>
      <c r="AF33" s="69">
        <f t="shared" si="6"/>
        <v>3340.79625</v>
      </c>
      <c r="AG33" s="70">
        <v>44.5</v>
      </c>
      <c r="AH33" s="78" t="s">
        <v>53</v>
      </c>
      <c r="AI33" s="78"/>
      <c r="AJ33" s="26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</row>
    <row r="34" spans="2:94" s="22" customFormat="1" ht="19.5" thickBot="1" thickTop="1">
      <c r="B34" s="56">
        <v>30</v>
      </c>
      <c r="C34" s="72">
        <v>15037</v>
      </c>
      <c r="D34" s="72" t="s">
        <v>24</v>
      </c>
      <c r="E34" s="72">
        <v>7</v>
      </c>
      <c r="F34" s="72" t="s">
        <v>129</v>
      </c>
      <c r="G34" s="56">
        <v>0</v>
      </c>
      <c r="H34" s="56">
        <v>1</v>
      </c>
      <c r="I34" s="56">
        <v>0</v>
      </c>
      <c r="J34" s="56">
        <v>1</v>
      </c>
      <c r="K34" s="56">
        <v>0</v>
      </c>
      <c r="L34" s="56">
        <v>4</v>
      </c>
      <c r="M34" s="56">
        <v>1</v>
      </c>
      <c r="N34" s="56">
        <v>1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74"/>
      <c r="U34" s="74"/>
      <c r="V34" s="74">
        <v>7700</v>
      </c>
      <c r="W34" s="74"/>
      <c r="X34" s="76"/>
      <c r="Y34" s="76"/>
      <c r="Z34" s="69">
        <f t="shared" si="0"/>
        <v>1925</v>
      </c>
      <c r="AA34" s="69">
        <f t="shared" si="1"/>
        <v>0</v>
      </c>
      <c r="AB34" s="69">
        <f t="shared" si="2"/>
        <v>0</v>
      </c>
      <c r="AC34" s="69">
        <f t="shared" si="3"/>
        <v>0</v>
      </c>
      <c r="AD34" s="69">
        <f t="shared" si="4"/>
        <v>0</v>
      </c>
      <c r="AE34" s="69">
        <f t="shared" si="5"/>
        <v>0</v>
      </c>
      <c r="AF34" s="69">
        <f t="shared" si="6"/>
        <v>1925</v>
      </c>
      <c r="AG34" s="70">
        <v>43.5</v>
      </c>
      <c r="AH34" s="80" t="s">
        <v>50</v>
      </c>
      <c r="AI34" s="78"/>
      <c r="AJ34" s="26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</row>
    <row r="35" spans="2:94" s="22" customFormat="1" ht="27.75" thickBot="1" thickTop="1">
      <c r="B35" s="56">
        <v>31</v>
      </c>
      <c r="C35" s="65">
        <v>15315</v>
      </c>
      <c r="D35" s="65" t="s">
        <v>21</v>
      </c>
      <c r="E35" s="65">
        <v>5</v>
      </c>
      <c r="F35" s="65" t="s">
        <v>140</v>
      </c>
      <c r="G35" s="66">
        <v>0</v>
      </c>
      <c r="H35" s="66">
        <v>1</v>
      </c>
      <c r="I35" s="66">
        <v>0</v>
      </c>
      <c r="J35" s="66">
        <v>1</v>
      </c>
      <c r="K35" s="56">
        <v>1</v>
      </c>
      <c r="L35" s="56">
        <v>5</v>
      </c>
      <c r="M35" s="56">
        <v>1</v>
      </c>
      <c r="N35" s="66">
        <v>1</v>
      </c>
      <c r="O35" s="66">
        <v>1</v>
      </c>
      <c r="P35" s="66">
        <v>1</v>
      </c>
      <c r="Q35" s="66">
        <v>0</v>
      </c>
      <c r="R35" s="66">
        <v>0</v>
      </c>
      <c r="S35" s="66">
        <v>0</v>
      </c>
      <c r="T35" s="74">
        <v>5491.94</v>
      </c>
      <c r="U35" s="74"/>
      <c r="V35" s="74">
        <f>7865.2-T35</f>
        <v>2373.26</v>
      </c>
      <c r="W35" s="74"/>
      <c r="X35" s="74"/>
      <c r="Y35" s="74"/>
      <c r="Z35" s="69">
        <f t="shared" si="0"/>
        <v>1023.8459999999999</v>
      </c>
      <c r="AA35" s="69">
        <f t="shared" si="1"/>
        <v>307.15379999999993</v>
      </c>
      <c r="AB35" s="69">
        <f t="shared" si="2"/>
        <v>204.76919999999998</v>
      </c>
      <c r="AC35" s="69">
        <f t="shared" si="3"/>
        <v>0</v>
      </c>
      <c r="AD35" s="69">
        <f t="shared" si="4"/>
        <v>0</v>
      </c>
      <c r="AE35" s="69">
        <f t="shared" si="5"/>
        <v>0</v>
      </c>
      <c r="AF35" s="69">
        <f t="shared" si="6"/>
        <v>511.923</v>
      </c>
      <c r="AG35" s="79">
        <v>43.5</v>
      </c>
      <c r="AH35" s="87" t="s">
        <v>63</v>
      </c>
      <c r="AI35" s="84"/>
      <c r="AJ35" s="26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</row>
    <row r="36" spans="2:94" s="51" customFormat="1" ht="19.5" thickBot="1" thickTop="1">
      <c r="B36" s="56">
        <v>32</v>
      </c>
      <c r="C36" s="65">
        <v>15250</v>
      </c>
      <c r="D36" s="65" t="s">
        <v>21</v>
      </c>
      <c r="E36" s="65">
        <v>5</v>
      </c>
      <c r="F36" s="65" t="s">
        <v>160</v>
      </c>
      <c r="G36" s="56">
        <v>0</v>
      </c>
      <c r="H36" s="66">
        <v>1</v>
      </c>
      <c r="I36" s="66">
        <v>1</v>
      </c>
      <c r="J36" s="66">
        <v>1</v>
      </c>
      <c r="K36" s="56">
        <v>0</v>
      </c>
      <c r="L36" s="56">
        <v>3</v>
      </c>
      <c r="M36" s="66">
        <v>1</v>
      </c>
      <c r="N36" s="66">
        <v>1</v>
      </c>
      <c r="O36" s="66">
        <v>0</v>
      </c>
      <c r="P36" s="66">
        <v>0</v>
      </c>
      <c r="Q36" s="66">
        <v>0</v>
      </c>
      <c r="R36" s="66">
        <v>1</v>
      </c>
      <c r="S36" s="66">
        <v>0</v>
      </c>
      <c r="T36" s="67">
        <v>7394.64</v>
      </c>
      <c r="U36" s="67"/>
      <c r="V36" s="67"/>
      <c r="W36" s="67"/>
      <c r="X36" s="67"/>
      <c r="Y36" s="67"/>
      <c r="Z36" s="69">
        <f t="shared" si="0"/>
        <v>1232.44</v>
      </c>
      <c r="AA36" s="69">
        <f t="shared" si="1"/>
        <v>0</v>
      </c>
      <c r="AB36" s="69">
        <f t="shared" si="2"/>
        <v>0</v>
      </c>
      <c r="AC36" s="69">
        <f t="shared" si="3"/>
        <v>123.24400000000001</v>
      </c>
      <c r="AD36" s="69">
        <f t="shared" si="4"/>
        <v>0</v>
      </c>
      <c r="AE36" s="69">
        <f t="shared" si="5"/>
        <v>369.732</v>
      </c>
      <c r="AF36" s="69">
        <f t="shared" si="6"/>
        <v>739.4640000000002</v>
      </c>
      <c r="AG36" s="75">
        <v>43</v>
      </c>
      <c r="AH36" s="80" t="s">
        <v>64</v>
      </c>
      <c r="AI36" s="86"/>
      <c r="AJ36" s="53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</row>
    <row r="37" spans="2:94" s="51" customFormat="1" ht="27.75" thickBot="1" thickTop="1">
      <c r="B37" s="56">
        <v>33</v>
      </c>
      <c r="C37" s="72">
        <v>2479</v>
      </c>
      <c r="D37" s="88" t="s">
        <v>20</v>
      </c>
      <c r="E37" s="72">
        <v>3</v>
      </c>
      <c r="F37" s="72" t="s">
        <v>117</v>
      </c>
      <c r="G37" s="56">
        <v>0</v>
      </c>
      <c r="H37" s="56">
        <v>1</v>
      </c>
      <c r="I37" s="56">
        <v>1</v>
      </c>
      <c r="J37" s="56">
        <v>1</v>
      </c>
      <c r="K37" s="56">
        <v>0</v>
      </c>
      <c r="L37" s="56">
        <v>3</v>
      </c>
      <c r="M37" s="56">
        <v>1</v>
      </c>
      <c r="N37" s="56">
        <v>1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74"/>
      <c r="U37" s="74"/>
      <c r="V37" s="74">
        <v>3780</v>
      </c>
      <c r="W37" s="74"/>
      <c r="X37" s="74"/>
      <c r="Y37" s="74"/>
      <c r="Z37" s="69">
        <f aca="true" t="shared" si="7" ref="Z37:Z68">((T37*50%+U37*85%+V37)/L37)+W37</f>
        <v>1260</v>
      </c>
      <c r="AA37" s="69">
        <f aca="true" t="shared" si="8" ref="AA37:AA68">IF(O37=1,Z37*30%,0)</f>
        <v>0</v>
      </c>
      <c r="AB37" s="69">
        <f aca="true" t="shared" si="9" ref="AB37:AB68">IF(K37=1,Z37*20%,0)</f>
        <v>0</v>
      </c>
      <c r="AC37" s="69">
        <f aca="true" t="shared" si="10" ref="AC37:AC68">IF(R37=1,Z37*10%,0)</f>
        <v>0</v>
      </c>
      <c r="AD37" s="69">
        <f aca="true" t="shared" si="11" ref="AD37:AD68">IF(S37=1,Z37*30%,0)</f>
        <v>0</v>
      </c>
      <c r="AE37" s="69">
        <f aca="true" t="shared" si="12" ref="AE37:AE68">IF(I37=1,Z37*30%,0)</f>
        <v>378</v>
      </c>
      <c r="AF37" s="69">
        <f aca="true" t="shared" si="13" ref="AF37:AF68">Z37-AA37-AB37-AC37-AD37-AE37</f>
        <v>882</v>
      </c>
      <c r="AG37" s="70">
        <v>42.5</v>
      </c>
      <c r="AH37" s="80" t="s">
        <v>29</v>
      </c>
      <c r="AI37" s="86"/>
      <c r="AJ37" s="53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</row>
    <row r="38" spans="2:94" s="22" customFormat="1" ht="19.5" thickBot="1" thickTop="1">
      <c r="B38" s="56">
        <v>34</v>
      </c>
      <c r="C38" s="65">
        <v>15112</v>
      </c>
      <c r="D38" s="65" t="s">
        <v>21</v>
      </c>
      <c r="E38" s="65">
        <v>7</v>
      </c>
      <c r="F38" s="65" t="s">
        <v>115</v>
      </c>
      <c r="G38" s="89">
        <v>0</v>
      </c>
      <c r="H38" s="90">
        <v>1</v>
      </c>
      <c r="I38" s="90">
        <v>0</v>
      </c>
      <c r="J38" s="90">
        <v>1</v>
      </c>
      <c r="K38" s="89">
        <v>0</v>
      </c>
      <c r="L38" s="89">
        <v>7</v>
      </c>
      <c r="M38" s="90">
        <v>1</v>
      </c>
      <c r="N38" s="90">
        <v>1</v>
      </c>
      <c r="O38" s="90">
        <v>1</v>
      </c>
      <c r="P38" s="90">
        <v>1</v>
      </c>
      <c r="Q38" s="90">
        <v>0</v>
      </c>
      <c r="R38" s="90">
        <v>0</v>
      </c>
      <c r="S38" s="90">
        <v>0</v>
      </c>
      <c r="T38" s="91">
        <v>14161.48</v>
      </c>
      <c r="U38" s="91"/>
      <c r="V38" s="91">
        <f>14281.59+2558.63-T38</f>
        <v>2678.7400000000016</v>
      </c>
      <c r="W38" s="91"/>
      <c r="X38" s="68"/>
      <c r="Y38" s="68"/>
      <c r="Z38" s="92">
        <f t="shared" si="7"/>
        <v>1394.2114285714288</v>
      </c>
      <c r="AA38" s="92">
        <f t="shared" si="8"/>
        <v>418.2634285714286</v>
      </c>
      <c r="AB38" s="92">
        <f t="shared" si="9"/>
        <v>0</v>
      </c>
      <c r="AC38" s="92">
        <f t="shared" si="10"/>
        <v>0</v>
      </c>
      <c r="AD38" s="92">
        <f t="shared" si="11"/>
        <v>0</v>
      </c>
      <c r="AE38" s="92">
        <f t="shared" si="12"/>
        <v>0</v>
      </c>
      <c r="AF38" s="92">
        <f t="shared" si="13"/>
        <v>975.9480000000001</v>
      </c>
      <c r="AG38" s="70">
        <v>41.5</v>
      </c>
      <c r="AH38" s="77" t="s">
        <v>43</v>
      </c>
      <c r="AI38" s="78"/>
      <c r="AJ38" s="26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</row>
    <row r="39" spans="1:94" s="25" customFormat="1" ht="22.5" customHeight="1" thickBot="1" thickTop="1">
      <c r="A39" s="27"/>
      <c r="B39" s="56">
        <v>35</v>
      </c>
      <c r="C39" s="72">
        <v>15150</v>
      </c>
      <c r="D39" s="72" t="s">
        <v>21</v>
      </c>
      <c r="E39" s="72">
        <v>7</v>
      </c>
      <c r="F39" s="72" t="s">
        <v>179</v>
      </c>
      <c r="G39" s="56">
        <v>0</v>
      </c>
      <c r="H39" s="56">
        <v>1</v>
      </c>
      <c r="I39" s="56">
        <v>0</v>
      </c>
      <c r="J39" s="56">
        <v>1</v>
      </c>
      <c r="K39" s="56">
        <v>0</v>
      </c>
      <c r="L39" s="56">
        <v>6</v>
      </c>
      <c r="M39" s="56">
        <v>1</v>
      </c>
      <c r="N39" s="56">
        <v>1</v>
      </c>
      <c r="O39" s="56">
        <v>0</v>
      </c>
      <c r="P39" s="56">
        <v>1</v>
      </c>
      <c r="Q39" s="56">
        <v>0</v>
      </c>
      <c r="R39" s="56">
        <v>0</v>
      </c>
      <c r="S39" s="56">
        <v>0</v>
      </c>
      <c r="T39" s="74">
        <v>11327.32</v>
      </c>
      <c r="U39" s="74"/>
      <c r="V39" s="74"/>
      <c r="W39" s="74"/>
      <c r="X39" s="76"/>
      <c r="Y39" s="76"/>
      <c r="Z39" s="69">
        <f t="shared" si="7"/>
        <v>943.9433333333333</v>
      </c>
      <c r="AA39" s="69">
        <f t="shared" si="8"/>
        <v>0</v>
      </c>
      <c r="AB39" s="69">
        <f t="shared" si="9"/>
        <v>0</v>
      </c>
      <c r="AC39" s="69">
        <f t="shared" si="10"/>
        <v>0</v>
      </c>
      <c r="AD39" s="69">
        <f t="shared" si="11"/>
        <v>0</v>
      </c>
      <c r="AE39" s="69">
        <f t="shared" si="12"/>
        <v>0</v>
      </c>
      <c r="AF39" s="69">
        <f t="shared" si="13"/>
        <v>943.9433333333333</v>
      </c>
      <c r="AG39" s="70">
        <v>41</v>
      </c>
      <c r="AH39" s="78" t="s">
        <v>77</v>
      </c>
      <c r="AI39" s="78"/>
      <c r="AJ39" s="28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</row>
    <row r="40" spans="1:94" s="25" customFormat="1" ht="25.5" customHeight="1" thickBot="1" thickTop="1">
      <c r="A40" s="27">
        <v>29</v>
      </c>
      <c r="B40" s="56">
        <v>36</v>
      </c>
      <c r="C40" s="72">
        <v>15453</v>
      </c>
      <c r="D40" s="72" t="s">
        <v>21</v>
      </c>
      <c r="E40" s="72">
        <v>3</v>
      </c>
      <c r="F40" s="72" t="s">
        <v>219</v>
      </c>
      <c r="G40" s="56">
        <v>0</v>
      </c>
      <c r="H40" s="56">
        <v>1</v>
      </c>
      <c r="I40" s="56">
        <v>1</v>
      </c>
      <c r="J40" s="56">
        <v>1</v>
      </c>
      <c r="K40" s="56">
        <v>0</v>
      </c>
      <c r="L40" s="56">
        <v>4</v>
      </c>
      <c r="M40" s="56">
        <v>1</v>
      </c>
      <c r="N40" s="56">
        <v>1</v>
      </c>
      <c r="O40" s="56">
        <v>1</v>
      </c>
      <c r="P40" s="56">
        <v>0</v>
      </c>
      <c r="Q40" s="56">
        <v>0</v>
      </c>
      <c r="R40" s="56">
        <v>0</v>
      </c>
      <c r="S40" s="56">
        <v>0</v>
      </c>
      <c r="T40" s="74">
        <f>3448.66+2164.14+12411.41+967.68</f>
        <v>18991.89</v>
      </c>
      <c r="U40" s="74"/>
      <c r="V40" s="74">
        <f>5612.96+13395.02-T40</f>
        <v>16.090000000000146</v>
      </c>
      <c r="W40" s="74"/>
      <c r="X40" s="74"/>
      <c r="Y40" s="74"/>
      <c r="Z40" s="69">
        <f t="shared" si="7"/>
        <v>2378.00875</v>
      </c>
      <c r="AA40" s="69">
        <f t="shared" si="8"/>
        <v>713.402625</v>
      </c>
      <c r="AB40" s="69">
        <f t="shared" si="9"/>
        <v>0</v>
      </c>
      <c r="AC40" s="69">
        <f t="shared" si="10"/>
        <v>0</v>
      </c>
      <c r="AD40" s="69">
        <f t="shared" si="11"/>
        <v>0</v>
      </c>
      <c r="AE40" s="69">
        <f t="shared" si="12"/>
        <v>713.402625</v>
      </c>
      <c r="AF40" s="69">
        <f t="shared" si="13"/>
        <v>951.2035000000001</v>
      </c>
      <c r="AG40" s="70">
        <v>41</v>
      </c>
      <c r="AH40" s="80" t="s">
        <v>99</v>
      </c>
      <c r="AI40" s="80"/>
      <c r="AJ40" s="19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</row>
    <row r="41" spans="1:94" s="25" customFormat="1" ht="22.5" customHeight="1" thickBot="1" thickTop="1">
      <c r="A41" s="27"/>
      <c r="B41" s="56">
        <v>37</v>
      </c>
      <c r="C41" s="72">
        <v>15416</v>
      </c>
      <c r="D41" s="72" t="s">
        <v>21</v>
      </c>
      <c r="E41" s="72">
        <v>3</v>
      </c>
      <c r="F41" s="72" t="s">
        <v>210</v>
      </c>
      <c r="G41" s="56">
        <v>0</v>
      </c>
      <c r="H41" s="56">
        <v>1</v>
      </c>
      <c r="I41" s="56">
        <v>0</v>
      </c>
      <c r="J41" s="56">
        <v>1</v>
      </c>
      <c r="K41" s="56">
        <v>0</v>
      </c>
      <c r="L41" s="56">
        <v>4</v>
      </c>
      <c r="M41" s="56">
        <v>1</v>
      </c>
      <c r="N41" s="56">
        <v>1</v>
      </c>
      <c r="O41" s="56">
        <v>1</v>
      </c>
      <c r="P41" s="56">
        <v>0</v>
      </c>
      <c r="Q41" s="56">
        <v>0</v>
      </c>
      <c r="R41" s="56">
        <v>0</v>
      </c>
      <c r="S41" s="56">
        <v>0</v>
      </c>
      <c r="T41" s="74">
        <v>7439.75</v>
      </c>
      <c r="U41" s="74">
        <v>227.96</v>
      </c>
      <c r="V41" s="74">
        <f>7439.75+2500-T41-U41</f>
        <v>2272.04</v>
      </c>
      <c r="W41" s="74"/>
      <c r="X41" s="76"/>
      <c r="Y41" s="76"/>
      <c r="Z41" s="69">
        <f t="shared" si="7"/>
        <v>1546.4202500000001</v>
      </c>
      <c r="AA41" s="69">
        <f t="shared" si="8"/>
        <v>463.926075</v>
      </c>
      <c r="AB41" s="69">
        <f t="shared" si="9"/>
        <v>0</v>
      </c>
      <c r="AC41" s="69">
        <f t="shared" si="10"/>
        <v>0</v>
      </c>
      <c r="AD41" s="69">
        <f t="shared" si="11"/>
        <v>0</v>
      </c>
      <c r="AE41" s="69">
        <f t="shared" si="12"/>
        <v>0</v>
      </c>
      <c r="AF41" s="69">
        <f t="shared" si="13"/>
        <v>1082.494175</v>
      </c>
      <c r="AG41" s="70">
        <v>40.5</v>
      </c>
      <c r="AH41" s="80" t="s">
        <v>28</v>
      </c>
      <c r="AI41" s="85"/>
      <c r="AJ41" s="19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</row>
    <row r="42" spans="1:94" s="25" customFormat="1" ht="22.5" customHeight="1" thickBot="1" thickTop="1">
      <c r="A42" s="27">
        <v>81</v>
      </c>
      <c r="B42" s="56">
        <v>38</v>
      </c>
      <c r="C42" s="65">
        <v>15046</v>
      </c>
      <c r="D42" s="65" t="s">
        <v>24</v>
      </c>
      <c r="E42" s="65">
        <v>7</v>
      </c>
      <c r="F42" s="65" t="s">
        <v>149</v>
      </c>
      <c r="G42" s="66">
        <v>0</v>
      </c>
      <c r="H42" s="66">
        <v>1</v>
      </c>
      <c r="I42" s="66">
        <v>1</v>
      </c>
      <c r="J42" s="66">
        <v>1</v>
      </c>
      <c r="K42" s="56">
        <v>0</v>
      </c>
      <c r="L42" s="56">
        <v>4</v>
      </c>
      <c r="M42" s="56">
        <v>1</v>
      </c>
      <c r="N42" s="66">
        <v>1</v>
      </c>
      <c r="O42" s="66">
        <v>0</v>
      </c>
      <c r="P42" s="66">
        <v>0</v>
      </c>
      <c r="Q42" s="66">
        <v>1</v>
      </c>
      <c r="R42" s="66">
        <v>0</v>
      </c>
      <c r="S42" s="56">
        <v>0</v>
      </c>
      <c r="T42" s="74">
        <v>2197.44</v>
      </c>
      <c r="U42" s="74"/>
      <c r="V42" s="74">
        <f>6413.33+8146.67-T42</f>
        <v>12362.56</v>
      </c>
      <c r="W42" s="74"/>
      <c r="X42" s="76"/>
      <c r="Y42" s="76"/>
      <c r="Z42" s="69">
        <f t="shared" si="7"/>
        <v>3365.3199999999997</v>
      </c>
      <c r="AA42" s="69">
        <f t="shared" si="8"/>
        <v>0</v>
      </c>
      <c r="AB42" s="69">
        <f t="shared" si="9"/>
        <v>0</v>
      </c>
      <c r="AC42" s="69">
        <f t="shared" si="10"/>
        <v>0</v>
      </c>
      <c r="AD42" s="69">
        <f t="shared" si="11"/>
        <v>0</v>
      </c>
      <c r="AE42" s="69">
        <f t="shared" si="12"/>
        <v>1009.5959999999999</v>
      </c>
      <c r="AF42" s="69">
        <f t="shared" si="13"/>
        <v>2355.7239999999997</v>
      </c>
      <c r="AG42" s="70">
        <v>40</v>
      </c>
      <c r="AH42" s="93" t="s">
        <v>52</v>
      </c>
      <c r="AI42" s="94"/>
      <c r="AJ42" s="19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</row>
    <row r="43" spans="1:94" s="44" customFormat="1" ht="22.5" customHeight="1" thickBot="1" thickTop="1">
      <c r="A43" s="32"/>
      <c r="B43" s="56">
        <v>39</v>
      </c>
      <c r="C43" s="72">
        <v>15442</v>
      </c>
      <c r="D43" s="72" t="s">
        <v>21</v>
      </c>
      <c r="E43" s="72">
        <v>3</v>
      </c>
      <c r="F43" s="72" t="s">
        <v>223</v>
      </c>
      <c r="G43" s="153">
        <v>0</v>
      </c>
      <c r="H43" s="153">
        <v>1</v>
      </c>
      <c r="I43" s="153">
        <v>0</v>
      </c>
      <c r="J43" s="153">
        <v>1</v>
      </c>
      <c r="K43" s="153">
        <v>0</v>
      </c>
      <c r="L43" s="153">
        <v>5</v>
      </c>
      <c r="M43" s="153">
        <v>1</v>
      </c>
      <c r="N43" s="153">
        <v>1</v>
      </c>
      <c r="O43" s="153">
        <v>1</v>
      </c>
      <c r="P43" s="153">
        <v>0</v>
      </c>
      <c r="Q43" s="153">
        <v>1</v>
      </c>
      <c r="R43" s="153">
        <v>0</v>
      </c>
      <c r="S43" s="153">
        <v>0</v>
      </c>
      <c r="T43" s="74">
        <v>15212</v>
      </c>
      <c r="U43" s="74"/>
      <c r="V43" s="74">
        <v>9476</v>
      </c>
      <c r="W43" s="74"/>
      <c r="X43" s="74"/>
      <c r="Y43" s="74"/>
      <c r="Z43" s="69">
        <f t="shared" si="7"/>
        <v>3416.4</v>
      </c>
      <c r="AA43" s="69">
        <f t="shared" si="8"/>
        <v>1024.92</v>
      </c>
      <c r="AB43" s="69">
        <f t="shared" si="9"/>
        <v>0</v>
      </c>
      <c r="AC43" s="69">
        <f t="shared" si="10"/>
        <v>0</v>
      </c>
      <c r="AD43" s="69">
        <f t="shared" si="11"/>
        <v>0</v>
      </c>
      <c r="AE43" s="69">
        <f t="shared" si="12"/>
        <v>0</v>
      </c>
      <c r="AF43" s="69">
        <f t="shared" si="13"/>
        <v>2391.48</v>
      </c>
      <c r="AG43" s="70">
        <v>38.5</v>
      </c>
      <c r="AH43" s="80" t="s">
        <v>76</v>
      </c>
      <c r="AI43" s="77"/>
      <c r="AJ43" s="19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</row>
    <row r="44" spans="1:94" s="25" customFormat="1" ht="22.5" customHeight="1" thickBot="1" thickTop="1">
      <c r="A44" s="27"/>
      <c r="B44" s="56">
        <v>40</v>
      </c>
      <c r="C44" s="65">
        <v>2027</v>
      </c>
      <c r="D44" s="65" t="s">
        <v>20</v>
      </c>
      <c r="E44" s="65">
        <v>9</v>
      </c>
      <c r="F44" s="65" t="s">
        <v>110</v>
      </c>
      <c r="G44" s="66">
        <v>0</v>
      </c>
      <c r="H44" s="66">
        <v>1</v>
      </c>
      <c r="I44" s="66">
        <v>0</v>
      </c>
      <c r="J44" s="66">
        <v>1</v>
      </c>
      <c r="K44" s="56">
        <v>1</v>
      </c>
      <c r="L44" s="56">
        <v>2</v>
      </c>
      <c r="M44" s="56">
        <v>1</v>
      </c>
      <c r="N44" s="66">
        <v>1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74">
        <f>1882.82+2799.89</f>
        <v>4682.71</v>
      </c>
      <c r="U44" s="74"/>
      <c r="V44" s="74">
        <f>4155.2+5760-T44</f>
        <v>5232.490000000001</v>
      </c>
      <c r="W44" s="74"/>
      <c r="X44" s="74"/>
      <c r="Y44" s="74"/>
      <c r="Z44" s="69">
        <f t="shared" si="7"/>
        <v>3786.9225000000006</v>
      </c>
      <c r="AA44" s="69">
        <f t="shared" si="8"/>
        <v>0</v>
      </c>
      <c r="AB44" s="69">
        <f t="shared" si="9"/>
        <v>757.3845000000001</v>
      </c>
      <c r="AC44" s="69">
        <f t="shared" si="10"/>
        <v>0</v>
      </c>
      <c r="AD44" s="69">
        <f t="shared" si="11"/>
        <v>0</v>
      </c>
      <c r="AE44" s="69">
        <f t="shared" si="12"/>
        <v>0</v>
      </c>
      <c r="AF44" s="69">
        <f t="shared" si="13"/>
        <v>3029.5380000000005</v>
      </c>
      <c r="AG44" s="75">
        <v>38</v>
      </c>
      <c r="AH44" s="71" t="s">
        <v>42</v>
      </c>
      <c r="AI44" s="71"/>
      <c r="AJ44" s="19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</row>
    <row r="45" spans="1:94" s="25" customFormat="1" ht="19.5" thickBot="1" thickTop="1">
      <c r="A45" s="27"/>
      <c r="B45" s="56">
        <v>41</v>
      </c>
      <c r="C45" s="72">
        <v>13948</v>
      </c>
      <c r="D45" s="72" t="s">
        <v>24</v>
      </c>
      <c r="E45" s="72">
        <v>9</v>
      </c>
      <c r="F45" s="72" t="s">
        <v>182</v>
      </c>
      <c r="G45" s="56">
        <v>0</v>
      </c>
      <c r="H45" s="56">
        <v>1</v>
      </c>
      <c r="I45" s="56">
        <v>1</v>
      </c>
      <c r="J45" s="56">
        <v>1</v>
      </c>
      <c r="K45" s="56">
        <v>1</v>
      </c>
      <c r="L45" s="56">
        <v>3</v>
      </c>
      <c r="M45" s="56">
        <v>1</v>
      </c>
      <c r="N45" s="56">
        <v>1</v>
      </c>
      <c r="O45" s="56">
        <v>0</v>
      </c>
      <c r="P45" s="56">
        <v>0</v>
      </c>
      <c r="Q45" s="56">
        <v>1</v>
      </c>
      <c r="R45" s="56">
        <v>0</v>
      </c>
      <c r="S45" s="56">
        <v>0</v>
      </c>
      <c r="T45" s="74"/>
      <c r="U45" s="74"/>
      <c r="V45" s="74">
        <v>6115</v>
      </c>
      <c r="W45" s="74"/>
      <c r="X45" s="74"/>
      <c r="Y45" s="74"/>
      <c r="Z45" s="69">
        <f t="shared" si="7"/>
        <v>2038.3333333333333</v>
      </c>
      <c r="AA45" s="69">
        <f t="shared" si="8"/>
        <v>0</v>
      </c>
      <c r="AB45" s="69">
        <f t="shared" si="9"/>
        <v>407.6666666666667</v>
      </c>
      <c r="AC45" s="69">
        <f t="shared" si="10"/>
        <v>0</v>
      </c>
      <c r="AD45" s="69">
        <f t="shared" si="11"/>
        <v>0</v>
      </c>
      <c r="AE45" s="69">
        <f t="shared" si="12"/>
        <v>611.5</v>
      </c>
      <c r="AF45" s="69">
        <f t="shared" si="13"/>
        <v>1019.1666666666665</v>
      </c>
      <c r="AG45" s="75">
        <v>38</v>
      </c>
      <c r="AH45" s="71" t="s">
        <v>79</v>
      </c>
      <c r="AI45" s="71"/>
      <c r="AJ45" s="19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</row>
    <row r="46" spans="1:94" s="25" customFormat="1" ht="22.5" customHeight="1" thickBot="1" thickTop="1">
      <c r="A46" s="27"/>
      <c r="B46" s="56">
        <v>42</v>
      </c>
      <c r="C46" s="65">
        <v>15224</v>
      </c>
      <c r="D46" s="65" t="s">
        <v>21</v>
      </c>
      <c r="E46" s="65">
        <v>5</v>
      </c>
      <c r="F46" s="65" t="s">
        <v>172</v>
      </c>
      <c r="G46" s="56">
        <v>0</v>
      </c>
      <c r="H46" s="66">
        <v>1</v>
      </c>
      <c r="I46" s="66">
        <v>0</v>
      </c>
      <c r="J46" s="66">
        <v>1</v>
      </c>
      <c r="K46" s="56">
        <v>0</v>
      </c>
      <c r="L46" s="56">
        <v>4</v>
      </c>
      <c r="M46" s="66">
        <v>1</v>
      </c>
      <c r="N46" s="66">
        <v>1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7">
        <v>11278.49</v>
      </c>
      <c r="U46" s="67">
        <v>129.85</v>
      </c>
      <c r="V46" s="67">
        <f>11992.61+2500-T46-U46</f>
        <v>3084.270000000001</v>
      </c>
      <c r="W46" s="67"/>
      <c r="X46" s="67"/>
      <c r="Y46" s="67"/>
      <c r="Z46" s="69">
        <f t="shared" si="7"/>
        <v>2208.471875</v>
      </c>
      <c r="AA46" s="69">
        <f t="shared" si="8"/>
        <v>0</v>
      </c>
      <c r="AB46" s="69">
        <f t="shared" si="9"/>
        <v>0</v>
      </c>
      <c r="AC46" s="69">
        <f t="shared" si="10"/>
        <v>0</v>
      </c>
      <c r="AD46" s="69">
        <f t="shared" si="11"/>
        <v>0</v>
      </c>
      <c r="AE46" s="69">
        <f t="shared" si="12"/>
        <v>0</v>
      </c>
      <c r="AF46" s="69">
        <f t="shared" si="13"/>
        <v>2208.471875</v>
      </c>
      <c r="AG46" s="75">
        <v>37</v>
      </c>
      <c r="AH46" s="80" t="s">
        <v>22</v>
      </c>
      <c r="AI46" s="71"/>
      <c r="AJ46" s="19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</row>
    <row r="47" spans="1:94" s="25" customFormat="1" ht="22.5" customHeight="1" thickBot="1" thickTop="1">
      <c r="A47" s="27"/>
      <c r="B47" s="56">
        <v>43</v>
      </c>
      <c r="C47" s="65">
        <v>15452</v>
      </c>
      <c r="D47" s="65" t="s">
        <v>24</v>
      </c>
      <c r="E47" s="65">
        <v>3</v>
      </c>
      <c r="F47" s="65" t="s">
        <v>214</v>
      </c>
      <c r="G47" s="56">
        <v>0</v>
      </c>
      <c r="H47" s="66">
        <v>1</v>
      </c>
      <c r="I47" s="66">
        <v>0</v>
      </c>
      <c r="J47" s="66">
        <v>1</v>
      </c>
      <c r="K47" s="56">
        <v>0</v>
      </c>
      <c r="L47" s="56">
        <v>6</v>
      </c>
      <c r="M47" s="66">
        <v>1</v>
      </c>
      <c r="N47" s="66">
        <v>1</v>
      </c>
      <c r="O47" s="66">
        <v>1</v>
      </c>
      <c r="P47" s="66">
        <v>1</v>
      </c>
      <c r="Q47" s="66">
        <v>0</v>
      </c>
      <c r="R47" s="66">
        <v>0</v>
      </c>
      <c r="S47" s="66">
        <v>0</v>
      </c>
      <c r="T47" s="67">
        <f>12244.74+15227.52</f>
        <v>27472.260000000002</v>
      </c>
      <c r="U47" s="67"/>
      <c r="V47" s="67">
        <f>12463.59+15446.37-T47</f>
        <v>437.6999999999971</v>
      </c>
      <c r="W47" s="67"/>
      <c r="X47" s="67"/>
      <c r="Y47" s="67"/>
      <c r="Z47" s="69">
        <f t="shared" si="7"/>
        <v>2362.305</v>
      </c>
      <c r="AA47" s="69">
        <f t="shared" si="8"/>
        <v>708.6914999999999</v>
      </c>
      <c r="AB47" s="69">
        <f t="shared" si="9"/>
        <v>0</v>
      </c>
      <c r="AC47" s="69">
        <f t="shared" si="10"/>
        <v>0</v>
      </c>
      <c r="AD47" s="69">
        <f t="shared" si="11"/>
        <v>0</v>
      </c>
      <c r="AE47" s="69">
        <f t="shared" si="12"/>
        <v>0</v>
      </c>
      <c r="AF47" s="69">
        <f t="shared" si="13"/>
        <v>1653.6135</v>
      </c>
      <c r="AG47" s="70">
        <v>37</v>
      </c>
      <c r="AH47" s="80" t="s">
        <v>22</v>
      </c>
      <c r="AI47" s="71"/>
      <c r="AJ47" s="19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</row>
    <row r="48" spans="1:94" s="25" customFormat="1" ht="22.5" customHeight="1" thickBot="1" thickTop="1">
      <c r="A48" s="27"/>
      <c r="B48" s="56">
        <v>44</v>
      </c>
      <c r="C48" s="65">
        <v>15199</v>
      </c>
      <c r="D48" s="65" t="s">
        <v>21</v>
      </c>
      <c r="E48" s="65">
        <v>5</v>
      </c>
      <c r="F48" s="65" t="s">
        <v>164</v>
      </c>
      <c r="G48" s="56">
        <v>0</v>
      </c>
      <c r="H48" s="66">
        <v>1</v>
      </c>
      <c r="I48" s="66">
        <v>0</v>
      </c>
      <c r="J48" s="66">
        <v>1</v>
      </c>
      <c r="K48" s="56">
        <v>0</v>
      </c>
      <c r="L48" s="56">
        <v>4</v>
      </c>
      <c r="M48" s="66">
        <v>1</v>
      </c>
      <c r="N48" s="66">
        <v>1</v>
      </c>
      <c r="O48" s="66">
        <v>0</v>
      </c>
      <c r="P48" s="66">
        <v>1</v>
      </c>
      <c r="Q48" s="66">
        <v>0</v>
      </c>
      <c r="R48" s="66">
        <v>0</v>
      </c>
      <c r="S48" s="66">
        <v>0</v>
      </c>
      <c r="T48" s="67">
        <f>11460.29+8238.21</f>
        <v>19698.5</v>
      </c>
      <c r="U48" s="67"/>
      <c r="V48" s="67">
        <f>11461.32+8238.5-T48</f>
        <v>1.319999999999709</v>
      </c>
      <c r="W48" s="67"/>
      <c r="X48" s="67"/>
      <c r="Y48" s="67"/>
      <c r="Z48" s="69">
        <f t="shared" si="7"/>
        <v>2462.6425</v>
      </c>
      <c r="AA48" s="69">
        <f t="shared" si="8"/>
        <v>0</v>
      </c>
      <c r="AB48" s="69">
        <f t="shared" si="9"/>
        <v>0</v>
      </c>
      <c r="AC48" s="69">
        <f t="shared" si="10"/>
        <v>0</v>
      </c>
      <c r="AD48" s="69">
        <f t="shared" si="11"/>
        <v>0</v>
      </c>
      <c r="AE48" s="69">
        <f t="shared" si="12"/>
        <v>0</v>
      </c>
      <c r="AF48" s="69">
        <f t="shared" si="13"/>
        <v>2462.6425</v>
      </c>
      <c r="AG48" s="79">
        <v>36.5</v>
      </c>
      <c r="AH48" s="80" t="s">
        <v>26</v>
      </c>
      <c r="AI48" s="82"/>
      <c r="AJ48" s="19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</row>
    <row r="49" spans="1:94" s="25" customFormat="1" ht="22.5" customHeight="1" thickBot="1" thickTop="1">
      <c r="A49" s="27"/>
      <c r="B49" s="56">
        <v>45</v>
      </c>
      <c r="C49" s="65">
        <v>14010</v>
      </c>
      <c r="D49" s="65" t="s">
        <v>24</v>
      </c>
      <c r="E49" s="65">
        <v>9</v>
      </c>
      <c r="F49" s="65" t="s">
        <v>139</v>
      </c>
      <c r="G49" s="56">
        <v>0</v>
      </c>
      <c r="H49" s="66">
        <v>1</v>
      </c>
      <c r="I49" s="66">
        <v>0</v>
      </c>
      <c r="J49" s="66">
        <v>1</v>
      </c>
      <c r="K49" s="56">
        <v>0</v>
      </c>
      <c r="L49" s="56">
        <v>4</v>
      </c>
      <c r="M49" s="66">
        <v>1</v>
      </c>
      <c r="N49" s="66">
        <v>1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7">
        <f>8631.17+2525.14</f>
        <v>11156.31</v>
      </c>
      <c r="U49" s="67"/>
      <c r="V49" s="67">
        <f>8631.21+4950-T49</f>
        <v>2424.8999999999996</v>
      </c>
      <c r="W49" s="67"/>
      <c r="X49" s="67"/>
      <c r="Y49" s="67"/>
      <c r="Z49" s="69">
        <f t="shared" si="7"/>
        <v>2000.7637499999998</v>
      </c>
      <c r="AA49" s="69">
        <f t="shared" si="8"/>
        <v>0</v>
      </c>
      <c r="AB49" s="69">
        <f t="shared" si="9"/>
        <v>0</v>
      </c>
      <c r="AC49" s="69">
        <f t="shared" si="10"/>
        <v>0</v>
      </c>
      <c r="AD49" s="69">
        <f t="shared" si="11"/>
        <v>0</v>
      </c>
      <c r="AE49" s="69">
        <f t="shared" si="12"/>
        <v>0</v>
      </c>
      <c r="AF49" s="69">
        <f t="shared" si="13"/>
        <v>2000.7637499999998</v>
      </c>
      <c r="AG49" s="79">
        <v>36</v>
      </c>
      <c r="AH49" s="82" t="s">
        <v>34</v>
      </c>
      <c r="AI49" s="78" t="s">
        <v>241</v>
      </c>
      <c r="AJ49" s="19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</row>
    <row r="50" spans="1:94" s="25" customFormat="1" ht="22.5" customHeight="1" thickBot="1" thickTop="1">
      <c r="A50" s="27"/>
      <c r="B50" s="56">
        <v>46</v>
      </c>
      <c r="C50" s="65">
        <v>15180</v>
      </c>
      <c r="D50" s="65" t="s">
        <v>21</v>
      </c>
      <c r="E50" s="65">
        <v>5</v>
      </c>
      <c r="F50" s="65" t="s">
        <v>168</v>
      </c>
      <c r="G50" s="66">
        <v>0</v>
      </c>
      <c r="H50" s="66">
        <v>1</v>
      </c>
      <c r="I50" s="66">
        <v>0</v>
      </c>
      <c r="J50" s="66">
        <v>1</v>
      </c>
      <c r="K50" s="56">
        <v>0</v>
      </c>
      <c r="L50" s="56">
        <v>5</v>
      </c>
      <c r="M50" s="56">
        <v>1</v>
      </c>
      <c r="N50" s="66">
        <v>1</v>
      </c>
      <c r="O50" s="66">
        <v>0</v>
      </c>
      <c r="P50" s="66">
        <v>0</v>
      </c>
      <c r="Q50" s="66">
        <v>1</v>
      </c>
      <c r="R50" s="66">
        <v>0</v>
      </c>
      <c r="S50" s="66">
        <v>0</v>
      </c>
      <c r="T50" s="74"/>
      <c r="U50" s="74"/>
      <c r="V50" s="74">
        <f>4800+12000.83</f>
        <v>16800.83</v>
      </c>
      <c r="W50" s="74"/>
      <c r="X50" s="74"/>
      <c r="Y50" s="74"/>
      <c r="Z50" s="69">
        <f t="shared" si="7"/>
        <v>3360.166</v>
      </c>
      <c r="AA50" s="69">
        <f t="shared" si="8"/>
        <v>0</v>
      </c>
      <c r="AB50" s="69">
        <f t="shared" si="9"/>
        <v>0</v>
      </c>
      <c r="AC50" s="69">
        <f t="shared" si="10"/>
        <v>0</v>
      </c>
      <c r="AD50" s="69">
        <f t="shared" si="11"/>
        <v>0</v>
      </c>
      <c r="AE50" s="69">
        <f t="shared" si="12"/>
        <v>0</v>
      </c>
      <c r="AF50" s="69">
        <f t="shared" si="13"/>
        <v>3360.166</v>
      </c>
      <c r="AG50" s="75">
        <v>36</v>
      </c>
      <c r="AH50" s="80" t="s">
        <v>67</v>
      </c>
      <c r="AI50" s="71"/>
      <c r="AJ50" s="19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1:94" s="25" customFormat="1" ht="19.5" thickBot="1" thickTop="1">
      <c r="A51" s="27"/>
      <c r="B51" s="56">
        <v>47</v>
      </c>
      <c r="C51" s="65">
        <v>15163</v>
      </c>
      <c r="D51" s="65" t="s">
        <v>24</v>
      </c>
      <c r="E51" s="65">
        <v>5</v>
      </c>
      <c r="F51" s="65" t="s">
        <v>167</v>
      </c>
      <c r="G51" s="56">
        <v>0</v>
      </c>
      <c r="H51" s="66">
        <v>1</v>
      </c>
      <c r="I51" s="66">
        <v>0</v>
      </c>
      <c r="J51" s="66">
        <v>1</v>
      </c>
      <c r="K51" s="56">
        <v>0</v>
      </c>
      <c r="L51" s="56">
        <v>4</v>
      </c>
      <c r="M51" s="66">
        <v>1</v>
      </c>
      <c r="N51" s="66">
        <v>1</v>
      </c>
      <c r="O51" s="66">
        <v>0</v>
      </c>
      <c r="P51" s="66">
        <v>0</v>
      </c>
      <c r="Q51" s="66">
        <v>1</v>
      </c>
      <c r="R51" s="66">
        <v>0</v>
      </c>
      <c r="S51" s="66">
        <v>0</v>
      </c>
      <c r="T51" s="67">
        <v>1706.47</v>
      </c>
      <c r="U51" s="67"/>
      <c r="V51" s="67">
        <f>7100+2500-T51</f>
        <v>7893.53</v>
      </c>
      <c r="W51" s="67"/>
      <c r="X51" s="67"/>
      <c r="Y51" s="67"/>
      <c r="Z51" s="69">
        <f t="shared" si="7"/>
        <v>2186.69125</v>
      </c>
      <c r="AA51" s="69">
        <f t="shared" si="8"/>
        <v>0</v>
      </c>
      <c r="AB51" s="69">
        <f t="shared" si="9"/>
        <v>0</v>
      </c>
      <c r="AC51" s="69">
        <f t="shared" si="10"/>
        <v>0</v>
      </c>
      <c r="AD51" s="69">
        <f t="shared" si="11"/>
        <v>0</v>
      </c>
      <c r="AE51" s="69">
        <f t="shared" si="12"/>
        <v>0</v>
      </c>
      <c r="AF51" s="69">
        <f t="shared" si="13"/>
        <v>2186.69125</v>
      </c>
      <c r="AG51" s="79">
        <v>35.5</v>
      </c>
      <c r="AH51" s="80" t="s">
        <v>53</v>
      </c>
      <c r="AI51" s="82"/>
      <c r="AJ51" s="19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1:94" s="25" customFormat="1" ht="19.5" thickBot="1" thickTop="1">
      <c r="A52" s="27"/>
      <c r="B52" s="56">
        <v>48</v>
      </c>
      <c r="C52" s="95">
        <v>15420</v>
      </c>
      <c r="D52" s="95" t="s">
        <v>21</v>
      </c>
      <c r="E52" s="95">
        <v>3</v>
      </c>
      <c r="F52" s="95" t="s">
        <v>218</v>
      </c>
      <c r="G52" s="89">
        <v>0</v>
      </c>
      <c r="H52" s="89">
        <v>1</v>
      </c>
      <c r="I52" s="89">
        <v>0</v>
      </c>
      <c r="J52" s="89">
        <v>1</v>
      </c>
      <c r="K52" s="89">
        <v>0</v>
      </c>
      <c r="L52" s="89">
        <v>5</v>
      </c>
      <c r="M52" s="89">
        <v>1</v>
      </c>
      <c r="N52" s="89">
        <v>1</v>
      </c>
      <c r="O52" s="89">
        <v>0</v>
      </c>
      <c r="P52" s="89">
        <v>0</v>
      </c>
      <c r="Q52" s="89">
        <v>1</v>
      </c>
      <c r="R52" s="89">
        <v>0</v>
      </c>
      <c r="S52" s="89">
        <v>0</v>
      </c>
      <c r="T52" s="96"/>
      <c r="U52" s="96">
        <v>100</v>
      </c>
      <c r="V52" s="96">
        <f>4508.49+2625.51-U52</f>
        <v>7034</v>
      </c>
      <c r="W52" s="96"/>
      <c r="X52" s="76"/>
      <c r="Y52" s="76"/>
      <c r="Z52" s="92">
        <f t="shared" si="7"/>
        <v>1423.8</v>
      </c>
      <c r="AA52" s="92">
        <f t="shared" si="8"/>
        <v>0</v>
      </c>
      <c r="AB52" s="92">
        <f t="shared" si="9"/>
        <v>0</v>
      </c>
      <c r="AC52" s="92">
        <f t="shared" si="10"/>
        <v>0</v>
      </c>
      <c r="AD52" s="92">
        <f t="shared" si="11"/>
        <v>0</v>
      </c>
      <c r="AE52" s="92">
        <f t="shared" si="12"/>
        <v>0</v>
      </c>
      <c r="AF52" s="92">
        <f t="shared" si="13"/>
        <v>1423.8</v>
      </c>
      <c r="AG52" s="70">
        <v>35</v>
      </c>
      <c r="AH52" s="97" t="s">
        <v>98</v>
      </c>
      <c r="AI52" s="97"/>
      <c r="AJ52" s="19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1:94" s="25" customFormat="1" ht="22.5" customHeight="1" thickBot="1" thickTop="1">
      <c r="A53" s="27"/>
      <c r="B53" s="56">
        <v>49</v>
      </c>
      <c r="C53" s="65">
        <v>15036</v>
      </c>
      <c r="D53" s="65" t="s">
        <v>24</v>
      </c>
      <c r="E53" s="65">
        <v>7</v>
      </c>
      <c r="F53" s="65" t="s">
        <v>148</v>
      </c>
      <c r="G53" s="56">
        <v>0</v>
      </c>
      <c r="H53" s="66">
        <v>1</v>
      </c>
      <c r="I53" s="66">
        <v>0</v>
      </c>
      <c r="J53" s="66">
        <v>1</v>
      </c>
      <c r="K53" s="56">
        <v>0</v>
      </c>
      <c r="L53" s="56">
        <v>4</v>
      </c>
      <c r="M53" s="66">
        <v>1</v>
      </c>
      <c r="N53" s="66">
        <v>1</v>
      </c>
      <c r="O53" s="66">
        <v>1</v>
      </c>
      <c r="P53" s="66">
        <v>0</v>
      </c>
      <c r="Q53" s="66">
        <v>1</v>
      </c>
      <c r="R53" s="66">
        <v>0</v>
      </c>
      <c r="S53" s="66">
        <v>0</v>
      </c>
      <c r="T53" s="67">
        <f>16229.28+339.56</f>
        <v>16568.84</v>
      </c>
      <c r="U53" s="67"/>
      <c r="V53" s="67">
        <f>16236.55+5859.38-T53</f>
        <v>5527.09</v>
      </c>
      <c r="W53" s="67"/>
      <c r="X53" s="68"/>
      <c r="Y53" s="68"/>
      <c r="Z53" s="69">
        <f t="shared" si="7"/>
        <v>3452.8775</v>
      </c>
      <c r="AA53" s="69">
        <f t="shared" si="8"/>
        <v>1035.8632499999999</v>
      </c>
      <c r="AB53" s="69">
        <f t="shared" si="9"/>
        <v>0</v>
      </c>
      <c r="AC53" s="69">
        <f t="shared" si="10"/>
        <v>0</v>
      </c>
      <c r="AD53" s="69">
        <f t="shared" si="11"/>
        <v>0</v>
      </c>
      <c r="AE53" s="69">
        <f t="shared" si="12"/>
        <v>0</v>
      </c>
      <c r="AF53" s="98">
        <f t="shared" si="13"/>
        <v>2417.01425</v>
      </c>
      <c r="AG53" s="99">
        <v>34</v>
      </c>
      <c r="AH53" s="82" t="s">
        <v>50</v>
      </c>
      <c r="AI53" s="71"/>
      <c r="AJ53" s="19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2:94" s="25" customFormat="1" ht="19.5" thickBot="1" thickTop="1">
      <c r="B54" s="56">
        <v>50</v>
      </c>
      <c r="C54" s="65">
        <v>2380</v>
      </c>
      <c r="D54" s="65" t="s">
        <v>20</v>
      </c>
      <c r="E54" s="65">
        <v>5</v>
      </c>
      <c r="F54" s="65" t="s">
        <v>185</v>
      </c>
      <c r="G54" s="66">
        <v>0</v>
      </c>
      <c r="H54" s="66">
        <v>1</v>
      </c>
      <c r="I54" s="56">
        <v>0</v>
      </c>
      <c r="J54" s="66">
        <v>1</v>
      </c>
      <c r="K54" s="56">
        <v>0</v>
      </c>
      <c r="L54" s="56">
        <v>5</v>
      </c>
      <c r="M54" s="56">
        <v>1</v>
      </c>
      <c r="N54" s="66">
        <v>1</v>
      </c>
      <c r="O54" s="66">
        <v>0</v>
      </c>
      <c r="P54" s="66">
        <v>0</v>
      </c>
      <c r="Q54" s="66">
        <v>1</v>
      </c>
      <c r="R54" s="66">
        <v>0</v>
      </c>
      <c r="S54" s="56">
        <v>0</v>
      </c>
      <c r="T54" s="74">
        <v>1564.03</v>
      </c>
      <c r="U54" s="74"/>
      <c r="V54" s="74">
        <f>9216-T54</f>
        <v>7651.97</v>
      </c>
      <c r="W54" s="74"/>
      <c r="X54" s="74"/>
      <c r="Y54" s="74"/>
      <c r="Z54" s="69">
        <f t="shared" si="7"/>
        <v>1686.797</v>
      </c>
      <c r="AA54" s="69">
        <f t="shared" si="8"/>
        <v>0</v>
      </c>
      <c r="AB54" s="69">
        <f t="shared" si="9"/>
        <v>0</v>
      </c>
      <c r="AC54" s="69">
        <f t="shared" si="10"/>
        <v>0</v>
      </c>
      <c r="AD54" s="69">
        <f t="shared" si="11"/>
        <v>0</v>
      </c>
      <c r="AE54" s="69">
        <f t="shared" si="12"/>
        <v>0</v>
      </c>
      <c r="AF54" s="98">
        <f t="shared" si="13"/>
        <v>1686.797</v>
      </c>
      <c r="AG54" s="75">
        <v>34</v>
      </c>
      <c r="AH54" s="100" t="s">
        <v>81</v>
      </c>
      <c r="AI54" s="71"/>
      <c r="AJ54" s="23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2:94" s="39" customFormat="1" ht="19.5" thickBot="1" thickTop="1">
      <c r="B55" s="56">
        <v>51</v>
      </c>
      <c r="C55" s="101">
        <v>2472</v>
      </c>
      <c r="D55" s="102" t="s">
        <v>20</v>
      </c>
      <c r="E55" s="101">
        <v>3</v>
      </c>
      <c r="F55" s="101" t="s">
        <v>226</v>
      </c>
      <c r="G55" s="90">
        <v>0</v>
      </c>
      <c r="H55" s="90">
        <v>1</v>
      </c>
      <c r="I55" s="90">
        <v>0</v>
      </c>
      <c r="J55" s="90">
        <v>1</v>
      </c>
      <c r="K55" s="89">
        <v>0</v>
      </c>
      <c r="L55" s="89">
        <v>6</v>
      </c>
      <c r="M55" s="89">
        <v>1</v>
      </c>
      <c r="N55" s="90">
        <v>1</v>
      </c>
      <c r="O55" s="90">
        <v>1</v>
      </c>
      <c r="P55" s="90">
        <v>1</v>
      </c>
      <c r="Q55" s="90">
        <v>0</v>
      </c>
      <c r="R55" s="90">
        <v>0</v>
      </c>
      <c r="S55" s="90">
        <v>0</v>
      </c>
      <c r="T55" s="96">
        <v>5527.48</v>
      </c>
      <c r="U55" s="96"/>
      <c r="V55" s="96">
        <f>11460+5532.74-T55</f>
        <v>11465.259999999998</v>
      </c>
      <c r="W55" s="96"/>
      <c r="X55" s="96"/>
      <c r="Y55" s="96"/>
      <c r="Z55" s="92">
        <f t="shared" si="7"/>
        <v>2371.4999999999995</v>
      </c>
      <c r="AA55" s="92">
        <f t="shared" si="8"/>
        <v>711.4499999999998</v>
      </c>
      <c r="AB55" s="92">
        <f t="shared" si="9"/>
        <v>0</v>
      </c>
      <c r="AC55" s="92">
        <f t="shared" si="10"/>
        <v>0</v>
      </c>
      <c r="AD55" s="92">
        <f t="shared" si="11"/>
        <v>0</v>
      </c>
      <c r="AE55" s="92">
        <f t="shared" si="12"/>
        <v>0</v>
      </c>
      <c r="AF55" s="103">
        <f t="shared" si="13"/>
        <v>1660.0499999999997</v>
      </c>
      <c r="AG55" s="104">
        <v>34</v>
      </c>
      <c r="AH55" s="105" t="s">
        <v>103</v>
      </c>
      <c r="AI55" s="106"/>
      <c r="AJ55" s="49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</row>
    <row r="56" spans="2:94" s="25" customFormat="1" ht="19.5" thickBot="1" thickTop="1">
      <c r="B56" s="56">
        <v>52</v>
      </c>
      <c r="C56" s="72">
        <v>14602</v>
      </c>
      <c r="D56" s="72" t="s">
        <v>24</v>
      </c>
      <c r="E56" s="72">
        <v>5</v>
      </c>
      <c r="F56" s="72" t="s">
        <v>234</v>
      </c>
      <c r="G56" s="56">
        <v>0</v>
      </c>
      <c r="H56" s="56">
        <v>1</v>
      </c>
      <c r="I56" s="56">
        <v>0</v>
      </c>
      <c r="J56" s="56">
        <v>1</v>
      </c>
      <c r="K56" s="56">
        <v>0</v>
      </c>
      <c r="L56" s="56">
        <v>3</v>
      </c>
      <c r="M56" s="56">
        <v>1</v>
      </c>
      <c r="N56" s="56">
        <v>1</v>
      </c>
      <c r="O56" s="56">
        <v>0</v>
      </c>
      <c r="P56" s="56">
        <v>0</v>
      </c>
      <c r="Q56" s="56">
        <v>0</v>
      </c>
      <c r="R56" s="56">
        <v>1</v>
      </c>
      <c r="S56" s="56">
        <v>0</v>
      </c>
      <c r="T56" s="74">
        <v>6384.51</v>
      </c>
      <c r="U56" s="74"/>
      <c r="V56" s="74">
        <f>8395-T56</f>
        <v>2010.4899999999998</v>
      </c>
      <c r="W56" s="74"/>
      <c r="X56" s="74"/>
      <c r="Y56" s="74"/>
      <c r="Z56" s="69">
        <f t="shared" si="7"/>
        <v>1734.2483333333332</v>
      </c>
      <c r="AA56" s="69">
        <f t="shared" si="8"/>
        <v>0</v>
      </c>
      <c r="AB56" s="69">
        <f t="shared" si="9"/>
        <v>0</v>
      </c>
      <c r="AC56" s="69">
        <f t="shared" si="10"/>
        <v>173.42483333333334</v>
      </c>
      <c r="AD56" s="69">
        <f t="shared" si="11"/>
        <v>0</v>
      </c>
      <c r="AE56" s="69">
        <f t="shared" si="12"/>
        <v>0</v>
      </c>
      <c r="AF56" s="98">
        <f t="shared" si="13"/>
        <v>1560.8235</v>
      </c>
      <c r="AG56" s="99">
        <v>34</v>
      </c>
      <c r="AH56" s="83" t="s">
        <v>235</v>
      </c>
      <c r="AI56" s="107"/>
      <c r="AJ56" s="23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2:94" s="39" customFormat="1" ht="19.5" thickBot="1" thickTop="1">
      <c r="B57" s="56">
        <v>53</v>
      </c>
      <c r="C57" s="65">
        <v>14604</v>
      </c>
      <c r="D57" s="65" t="s">
        <v>21</v>
      </c>
      <c r="E57" s="65">
        <v>9</v>
      </c>
      <c r="F57" s="65" t="s">
        <v>153</v>
      </c>
      <c r="G57" s="66">
        <v>0</v>
      </c>
      <c r="H57" s="66">
        <v>1</v>
      </c>
      <c r="I57" s="66">
        <v>0</v>
      </c>
      <c r="J57" s="66">
        <v>1</v>
      </c>
      <c r="K57" s="56">
        <v>0</v>
      </c>
      <c r="L57" s="56">
        <v>3</v>
      </c>
      <c r="M57" s="56">
        <v>1</v>
      </c>
      <c r="N57" s="66">
        <v>1</v>
      </c>
      <c r="O57" s="66">
        <v>0</v>
      </c>
      <c r="P57" s="66">
        <v>0</v>
      </c>
      <c r="Q57" s="66">
        <v>1</v>
      </c>
      <c r="R57" s="66">
        <v>0</v>
      </c>
      <c r="S57" s="66">
        <v>0</v>
      </c>
      <c r="T57" s="74">
        <f>4187.97+1037.41</f>
        <v>5225.38</v>
      </c>
      <c r="U57" s="74"/>
      <c r="V57" s="74">
        <f>7640+9456.5-T57</f>
        <v>11871.119999999999</v>
      </c>
      <c r="W57" s="74"/>
      <c r="X57" s="74"/>
      <c r="Y57" s="74"/>
      <c r="Z57" s="69">
        <f t="shared" si="7"/>
        <v>4827.9366666666665</v>
      </c>
      <c r="AA57" s="69">
        <f t="shared" si="8"/>
        <v>0</v>
      </c>
      <c r="AB57" s="69">
        <f t="shared" si="9"/>
        <v>0</v>
      </c>
      <c r="AC57" s="69">
        <f t="shared" si="10"/>
        <v>0</v>
      </c>
      <c r="AD57" s="69">
        <f t="shared" si="11"/>
        <v>0</v>
      </c>
      <c r="AE57" s="69">
        <f t="shared" si="12"/>
        <v>0</v>
      </c>
      <c r="AF57" s="98">
        <f t="shared" si="13"/>
        <v>4827.9366666666665</v>
      </c>
      <c r="AG57" s="108">
        <v>33.5</v>
      </c>
      <c r="AH57" s="71" t="s">
        <v>154</v>
      </c>
      <c r="AI57" s="86"/>
      <c r="AJ57" s="49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</row>
    <row r="58" spans="2:94" s="25" customFormat="1" ht="19.5" thickBot="1" thickTop="1">
      <c r="B58" s="56">
        <v>54</v>
      </c>
      <c r="C58" s="65">
        <v>15356</v>
      </c>
      <c r="D58" s="65" t="s">
        <v>21</v>
      </c>
      <c r="E58" s="65">
        <v>5</v>
      </c>
      <c r="F58" s="65" t="s">
        <v>187</v>
      </c>
      <c r="G58" s="66">
        <v>0</v>
      </c>
      <c r="H58" s="66">
        <v>1</v>
      </c>
      <c r="I58" s="56">
        <v>0</v>
      </c>
      <c r="J58" s="66">
        <v>1</v>
      </c>
      <c r="K58" s="56">
        <v>0</v>
      </c>
      <c r="L58" s="56">
        <v>5</v>
      </c>
      <c r="M58" s="56">
        <v>1</v>
      </c>
      <c r="N58" s="66">
        <v>1</v>
      </c>
      <c r="O58" s="66">
        <v>1</v>
      </c>
      <c r="P58" s="66">
        <v>0</v>
      </c>
      <c r="Q58" s="66">
        <v>1</v>
      </c>
      <c r="R58" s="66">
        <v>0</v>
      </c>
      <c r="S58" s="56">
        <v>0</v>
      </c>
      <c r="T58" s="74">
        <f>6599.39+1085.76</f>
        <v>7685.150000000001</v>
      </c>
      <c r="U58" s="74">
        <v>951.25</v>
      </c>
      <c r="V58" s="74">
        <f>12054.39+2500-U58-T58</f>
        <v>5917.989999999999</v>
      </c>
      <c r="W58" s="74"/>
      <c r="X58" s="74"/>
      <c r="Y58" s="74"/>
      <c r="Z58" s="69">
        <f t="shared" si="7"/>
        <v>2113.8255</v>
      </c>
      <c r="AA58" s="69">
        <f t="shared" si="8"/>
        <v>634.14765</v>
      </c>
      <c r="AB58" s="69">
        <f t="shared" si="9"/>
        <v>0</v>
      </c>
      <c r="AC58" s="69">
        <f t="shared" si="10"/>
        <v>0</v>
      </c>
      <c r="AD58" s="69">
        <f t="shared" si="11"/>
        <v>0</v>
      </c>
      <c r="AE58" s="69">
        <f t="shared" si="12"/>
        <v>0</v>
      </c>
      <c r="AF58" s="98">
        <f t="shared" si="13"/>
        <v>1479.67785</v>
      </c>
      <c r="AG58" s="75">
        <v>33.5</v>
      </c>
      <c r="AH58" s="100" t="s">
        <v>82</v>
      </c>
      <c r="AI58" s="71"/>
      <c r="AJ58" s="23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2:94" s="25" customFormat="1" ht="19.5" thickBot="1" thickTop="1">
      <c r="B59" s="56">
        <v>55</v>
      </c>
      <c r="C59" s="65">
        <v>13623</v>
      </c>
      <c r="D59" s="65" t="s">
        <v>24</v>
      </c>
      <c r="E59" s="65">
        <v>9</v>
      </c>
      <c r="F59" s="65" t="s">
        <v>180</v>
      </c>
      <c r="G59" s="56">
        <v>0</v>
      </c>
      <c r="H59" s="66">
        <v>1</v>
      </c>
      <c r="I59" s="66">
        <v>1</v>
      </c>
      <c r="J59" s="66">
        <v>1</v>
      </c>
      <c r="K59" s="56">
        <v>0</v>
      </c>
      <c r="L59" s="56">
        <v>4</v>
      </c>
      <c r="M59" s="66">
        <v>1</v>
      </c>
      <c r="N59" s="66">
        <v>1</v>
      </c>
      <c r="O59" s="66">
        <v>0</v>
      </c>
      <c r="P59" s="66">
        <v>0</v>
      </c>
      <c r="Q59" s="66">
        <v>0</v>
      </c>
      <c r="R59" s="66">
        <v>0</v>
      </c>
      <c r="S59" s="66">
        <v>1</v>
      </c>
      <c r="T59" s="67">
        <v>6891.39</v>
      </c>
      <c r="U59" s="67"/>
      <c r="V59" s="67">
        <f>6894.86-T59</f>
        <v>3.469999999999345</v>
      </c>
      <c r="W59" s="67"/>
      <c r="X59" s="67"/>
      <c r="Y59" s="67"/>
      <c r="Z59" s="69">
        <f t="shared" si="7"/>
        <v>862.2912499999999</v>
      </c>
      <c r="AA59" s="69">
        <f t="shared" si="8"/>
        <v>0</v>
      </c>
      <c r="AB59" s="69">
        <f t="shared" si="9"/>
        <v>0</v>
      </c>
      <c r="AC59" s="69">
        <f t="shared" si="10"/>
        <v>0</v>
      </c>
      <c r="AD59" s="69">
        <f t="shared" si="11"/>
        <v>258.687375</v>
      </c>
      <c r="AE59" s="69">
        <f t="shared" si="12"/>
        <v>258.687375</v>
      </c>
      <c r="AF59" s="98">
        <f t="shared" si="13"/>
        <v>344.9164999999999</v>
      </c>
      <c r="AG59" s="108">
        <v>33</v>
      </c>
      <c r="AH59" s="80" t="s">
        <v>78</v>
      </c>
      <c r="AI59" s="78"/>
      <c r="AJ59" s="23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2:94" s="25" customFormat="1" ht="19.5" thickBot="1" thickTop="1">
      <c r="B60" s="56">
        <v>56</v>
      </c>
      <c r="C60" s="65">
        <v>15342</v>
      </c>
      <c r="D60" s="65" t="s">
        <v>24</v>
      </c>
      <c r="E60" s="65">
        <v>3</v>
      </c>
      <c r="F60" s="65" t="s">
        <v>193</v>
      </c>
      <c r="G60" s="89">
        <v>0</v>
      </c>
      <c r="H60" s="90">
        <v>1</v>
      </c>
      <c r="I60" s="90">
        <v>1</v>
      </c>
      <c r="J60" s="90">
        <v>1</v>
      </c>
      <c r="K60" s="89">
        <v>0</v>
      </c>
      <c r="L60" s="89">
        <v>3</v>
      </c>
      <c r="M60" s="90">
        <v>1</v>
      </c>
      <c r="N60" s="90">
        <v>1</v>
      </c>
      <c r="O60" s="90">
        <v>1</v>
      </c>
      <c r="P60" s="90">
        <v>0</v>
      </c>
      <c r="Q60" s="90">
        <v>0</v>
      </c>
      <c r="R60" s="90">
        <v>1</v>
      </c>
      <c r="S60" s="90">
        <v>0</v>
      </c>
      <c r="T60" s="91">
        <v>424.38</v>
      </c>
      <c r="U60" s="91"/>
      <c r="V60" s="91">
        <f>6000-T60</f>
        <v>5575.62</v>
      </c>
      <c r="W60" s="91"/>
      <c r="X60" s="68"/>
      <c r="Y60" s="68"/>
      <c r="Z60" s="92">
        <f t="shared" si="7"/>
        <v>1929.2699999999998</v>
      </c>
      <c r="AA60" s="92">
        <f t="shared" si="8"/>
        <v>578.781</v>
      </c>
      <c r="AB60" s="92">
        <f t="shared" si="9"/>
        <v>0</v>
      </c>
      <c r="AC60" s="92">
        <f t="shared" si="10"/>
        <v>192.927</v>
      </c>
      <c r="AD60" s="92">
        <f t="shared" si="11"/>
        <v>0</v>
      </c>
      <c r="AE60" s="92">
        <f t="shared" si="12"/>
        <v>578.781</v>
      </c>
      <c r="AF60" s="103">
        <f t="shared" si="13"/>
        <v>578.781</v>
      </c>
      <c r="AG60" s="70">
        <v>33</v>
      </c>
      <c r="AH60" s="109" t="s">
        <v>22</v>
      </c>
      <c r="AI60" s="110"/>
      <c r="AJ60" s="23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2:94" s="25" customFormat="1" ht="19.5" thickBot="1" thickTop="1">
      <c r="B61" s="56">
        <v>57</v>
      </c>
      <c r="C61" s="65">
        <v>15521</v>
      </c>
      <c r="D61" s="65" t="s">
        <v>21</v>
      </c>
      <c r="E61" s="65">
        <v>3</v>
      </c>
      <c r="F61" s="65" t="s">
        <v>197</v>
      </c>
      <c r="G61" s="56">
        <v>0</v>
      </c>
      <c r="H61" s="66">
        <v>1</v>
      </c>
      <c r="I61" s="66">
        <v>1</v>
      </c>
      <c r="J61" s="66">
        <v>1</v>
      </c>
      <c r="K61" s="56">
        <v>0</v>
      </c>
      <c r="L61" s="56">
        <v>3</v>
      </c>
      <c r="M61" s="66">
        <v>1</v>
      </c>
      <c r="N61" s="66">
        <v>1</v>
      </c>
      <c r="O61" s="66">
        <v>0</v>
      </c>
      <c r="P61" s="66">
        <v>0</v>
      </c>
      <c r="Q61" s="66">
        <v>0</v>
      </c>
      <c r="R61" s="66">
        <v>1</v>
      </c>
      <c r="S61" s="66">
        <v>0</v>
      </c>
      <c r="T61" s="67">
        <f>1393.69+1153.44</f>
        <v>2547.13</v>
      </c>
      <c r="U61" s="67"/>
      <c r="V61" s="67">
        <f>5800-T61</f>
        <v>3252.87</v>
      </c>
      <c r="W61" s="67"/>
      <c r="X61" s="67"/>
      <c r="Y61" s="67"/>
      <c r="Z61" s="69">
        <f t="shared" si="7"/>
        <v>1508.8116666666665</v>
      </c>
      <c r="AA61" s="69">
        <f t="shared" si="8"/>
        <v>0</v>
      </c>
      <c r="AB61" s="69">
        <f t="shared" si="9"/>
        <v>0</v>
      </c>
      <c r="AC61" s="69">
        <f t="shared" si="10"/>
        <v>150.88116666666664</v>
      </c>
      <c r="AD61" s="69">
        <f t="shared" si="11"/>
        <v>0</v>
      </c>
      <c r="AE61" s="69">
        <f t="shared" si="12"/>
        <v>452.64349999999996</v>
      </c>
      <c r="AF61" s="98">
        <f t="shared" si="13"/>
        <v>905.287</v>
      </c>
      <c r="AG61" s="111">
        <v>33</v>
      </c>
      <c r="AH61" s="112" t="s">
        <v>22</v>
      </c>
      <c r="AI61" s="80"/>
      <c r="AJ61" s="23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2:94" s="25" customFormat="1" ht="19.5" thickBot="1" thickTop="1">
      <c r="B62" s="56">
        <v>58</v>
      </c>
      <c r="C62" s="72">
        <v>15361</v>
      </c>
      <c r="D62" s="72" t="s">
        <v>21</v>
      </c>
      <c r="E62" s="72">
        <v>3</v>
      </c>
      <c r="F62" s="72" t="s">
        <v>207</v>
      </c>
      <c r="G62" s="56">
        <v>0</v>
      </c>
      <c r="H62" s="56">
        <v>1</v>
      </c>
      <c r="I62" s="56">
        <v>0</v>
      </c>
      <c r="J62" s="56">
        <v>1</v>
      </c>
      <c r="K62" s="56">
        <v>0</v>
      </c>
      <c r="L62" s="56">
        <v>6</v>
      </c>
      <c r="M62" s="56">
        <v>1</v>
      </c>
      <c r="N62" s="56">
        <v>1</v>
      </c>
      <c r="O62" s="56">
        <v>0</v>
      </c>
      <c r="P62" s="56">
        <v>1</v>
      </c>
      <c r="Q62" s="56">
        <v>0</v>
      </c>
      <c r="R62" s="56">
        <v>0</v>
      </c>
      <c r="S62" s="56">
        <v>0</v>
      </c>
      <c r="T62" s="74">
        <v>12878.41</v>
      </c>
      <c r="U62" s="74"/>
      <c r="V62" s="74">
        <f>12908.41+2500-T62</f>
        <v>2530</v>
      </c>
      <c r="W62" s="74"/>
      <c r="X62" s="74"/>
      <c r="Y62" s="74"/>
      <c r="Z62" s="69">
        <f t="shared" si="7"/>
        <v>1494.8675</v>
      </c>
      <c r="AA62" s="69">
        <f t="shared" si="8"/>
        <v>0</v>
      </c>
      <c r="AB62" s="69">
        <f t="shared" si="9"/>
        <v>0</v>
      </c>
      <c r="AC62" s="69">
        <f t="shared" si="10"/>
        <v>0</v>
      </c>
      <c r="AD62" s="69">
        <f t="shared" si="11"/>
        <v>0</v>
      </c>
      <c r="AE62" s="69">
        <f t="shared" si="12"/>
        <v>0</v>
      </c>
      <c r="AF62" s="98">
        <f t="shared" si="13"/>
        <v>1494.8675</v>
      </c>
      <c r="AG62" s="70">
        <v>33</v>
      </c>
      <c r="AH62" s="80" t="s">
        <v>208</v>
      </c>
      <c r="AI62" s="113"/>
      <c r="AJ62" s="23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2:94" s="39" customFormat="1" ht="19.5" thickBot="1" thickTop="1">
      <c r="B63" s="56">
        <v>59</v>
      </c>
      <c r="C63" s="72">
        <v>15432</v>
      </c>
      <c r="D63" s="72" t="s">
        <v>21</v>
      </c>
      <c r="E63" s="72">
        <v>3</v>
      </c>
      <c r="F63" s="72" t="s">
        <v>211</v>
      </c>
      <c r="G63" s="56">
        <v>0</v>
      </c>
      <c r="H63" s="56">
        <v>1</v>
      </c>
      <c r="I63" s="56">
        <v>0</v>
      </c>
      <c r="J63" s="56">
        <v>1</v>
      </c>
      <c r="K63" s="56">
        <v>0</v>
      </c>
      <c r="L63" s="56">
        <v>3</v>
      </c>
      <c r="M63" s="56">
        <v>1</v>
      </c>
      <c r="N63" s="56">
        <v>1</v>
      </c>
      <c r="O63" s="56">
        <v>0</v>
      </c>
      <c r="P63" s="56">
        <v>0</v>
      </c>
      <c r="Q63" s="56">
        <v>0</v>
      </c>
      <c r="R63" s="56">
        <v>1</v>
      </c>
      <c r="S63" s="56">
        <v>0</v>
      </c>
      <c r="T63" s="74">
        <f>8233.79+1468.8</f>
        <v>9702.59</v>
      </c>
      <c r="U63" s="74"/>
      <c r="V63" s="74">
        <f>9892.08-T63</f>
        <v>189.48999999999978</v>
      </c>
      <c r="W63" s="74"/>
      <c r="X63" s="74"/>
      <c r="Y63" s="74"/>
      <c r="Z63" s="69">
        <f t="shared" si="7"/>
        <v>1680.2616666666665</v>
      </c>
      <c r="AA63" s="69">
        <f t="shared" si="8"/>
        <v>0</v>
      </c>
      <c r="AB63" s="69">
        <f t="shared" si="9"/>
        <v>0</v>
      </c>
      <c r="AC63" s="69">
        <f t="shared" si="10"/>
        <v>168.02616666666665</v>
      </c>
      <c r="AD63" s="69">
        <f t="shared" si="11"/>
        <v>0</v>
      </c>
      <c r="AE63" s="69">
        <f t="shared" si="12"/>
        <v>0</v>
      </c>
      <c r="AF63" s="98">
        <f t="shared" si="13"/>
        <v>1512.2354999999998</v>
      </c>
      <c r="AG63" s="114">
        <v>33</v>
      </c>
      <c r="AH63" s="80" t="s">
        <v>22</v>
      </c>
      <c r="AI63" s="86"/>
      <c r="AJ63" s="49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</row>
    <row r="64" spans="2:94" s="25" customFormat="1" ht="19.5" thickBot="1" thickTop="1">
      <c r="B64" s="56">
        <v>60</v>
      </c>
      <c r="C64" s="72">
        <v>15172</v>
      </c>
      <c r="D64" s="72" t="s">
        <v>24</v>
      </c>
      <c r="E64" s="72">
        <v>5</v>
      </c>
      <c r="F64" s="72" t="s">
        <v>127</v>
      </c>
      <c r="G64" s="56">
        <v>0</v>
      </c>
      <c r="H64" s="56">
        <v>1</v>
      </c>
      <c r="I64" s="56">
        <v>0</v>
      </c>
      <c r="J64" s="56">
        <v>1</v>
      </c>
      <c r="K64" s="56">
        <v>1</v>
      </c>
      <c r="L64" s="56">
        <v>2</v>
      </c>
      <c r="M64" s="56">
        <v>1</v>
      </c>
      <c r="N64" s="56">
        <v>1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74">
        <v>5705.68</v>
      </c>
      <c r="U64" s="74"/>
      <c r="V64" s="74">
        <f>9024-T64</f>
        <v>3318.3199999999997</v>
      </c>
      <c r="W64" s="74"/>
      <c r="X64" s="74"/>
      <c r="Y64" s="74"/>
      <c r="Z64" s="69">
        <f t="shared" si="7"/>
        <v>3085.58</v>
      </c>
      <c r="AA64" s="69">
        <f t="shared" si="8"/>
        <v>0</v>
      </c>
      <c r="AB64" s="69">
        <f t="shared" si="9"/>
        <v>617.116</v>
      </c>
      <c r="AC64" s="69">
        <f t="shared" si="10"/>
        <v>0</v>
      </c>
      <c r="AD64" s="69">
        <f t="shared" si="11"/>
        <v>0</v>
      </c>
      <c r="AE64" s="69">
        <f t="shared" si="12"/>
        <v>0</v>
      </c>
      <c r="AF64" s="98">
        <f t="shared" si="13"/>
        <v>2468.464</v>
      </c>
      <c r="AG64" s="115">
        <v>32.5</v>
      </c>
      <c r="AH64" s="80" t="s">
        <v>70</v>
      </c>
      <c r="AI64" s="71"/>
      <c r="AJ64" s="23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2:94" s="25" customFormat="1" ht="19.5" thickBot="1" thickTop="1">
      <c r="B65" s="56">
        <v>61</v>
      </c>
      <c r="C65" s="65">
        <v>15249</v>
      </c>
      <c r="D65" s="65" t="s">
        <v>21</v>
      </c>
      <c r="E65" s="65">
        <v>5</v>
      </c>
      <c r="F65" s="65" t="s">
        <v>128</v>
      </c>
      <c r="G65" s="66">
        <v>0</v>
      </c>
      <c r="H65" s="66">
        <v>1</v>
      </c>
      <c r="I65" s="56">
        <v>1</v>
      </c>
      <c r="J65" s="66">
        <v>1</v>
      </c>
      <c r="K65" s="56">
        <v>0</v>
      </c>
      <c r="L65" s="56">
        <v>4</v>
      </c>
      <c r="M65" s="56">
        <v>1</v>
      </c>
      <c r="N65" s="66">
        <v>1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74"/>
      <c r="U65" s="74"/>
      <c r="V65" s="74">
        <f>7340+2500</f>
        <v>9840</v>
      </c>
      <c r="W65" s="74"/>
      <c r="X65" s="74"/>
      <c r="Y65" s="74"/>
      <c r="Z65" s="69">
        <f t="shared" si="7"/>
        <v>2460</v>
      </c>
      <c r="AA65" s="69">
        <f t="shared" si="8"/>
        <v>0</v>
      </c>
      <c r="AB65" s="69">
        <f t="shared" si="9"/>
        <v>0</v>
      </c>
      <c r="AC65" s="69">
        <f t="shared" si="10"/>
        <v>0</v>
      </c>
      <c r="AD65" s="69">
        <f t="shared" si="11"/>
        <v>0</v>
      </c>
      <c r="AE65" s="69">
        <f t="shared" si="12"/>
        <v>738</v>
      </c>
      <c r="AF65" s="98">
        <f t="shared" si="13"/>
        <v>1722</v>
      </c>
      <c r="AG65" s="116">
        <v>32.5</v>
      </c>
      <c r="AH65" s="80" t="s">
        <v>51</v>
      </c>
      <c r="AI65" s="71"/>
      <c r="AJ65" s="23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2:94" s="25" customFormat="1" ht="19.5" thickBot="1" thickTop="1">
      <c r="B66" s="56">
        <v>62</v>
      </c>
      <c r="C66" s="65">
        <v>15013</v>
      </c>
      <c r="D66" s="65" t="s">
        <v>24</v>
      </c>
      <c r="E66" s="65">
        <v>7</v>
      </c>
      <c r="F66" s="65" t="s">
        <v>144</v>
      </c>
      <c r="G66" s="66">
        <v>0</v>
      </c>
      <c r="H66" s="66">
        <v>1</v>
      </c>
      <c r="I66" s="66">
        <v>0</v>
      </c>
      <c r="J66" s="66">
        <v>1</v>
      </c>
      <c r="K66" s="56">
        <v>0</v>
      </c>
      <c r="L66" s="56">
        <v>5</v>
      </c>
      <c r="M66" s="56">
        <v>1</v>
      </c>
      <c r="N66" s="66">
        <v>1</v>
      </c>
      <c r="O66" s="66">
        <v>1</v>
      </c>
      <c r="P66" s="66">
        <v>0</v>
      </c>
      <c r="Q66" s="66">
        <v>1</v>
      </c>
      <c r="R66" s="66">
        <v>0</v>
      </c>
      <c r="S66" s="66">
        <v>0</v>
      </c>
      <c r="T66" s="74">
        <f>15594.31+15213.62</f>
        <v>30807.93</v>
      </c>
      <c r="U66" s="74"/>
      <c r="V66" s="74">
        <f>15830.11+15214.98-T66</f>
        <v>237.15999999999985</v>
      </c>
      <c r="W66" s="74"/>
      <c r="X66" s="76"/>
      <c r="Y66" s="76"/>
      <c r="Z66" s="69">
        <f t="shared" si="7"/>
        <v>3128.225</v>
      </c>
      <c r="AA66" s="69">
        <f t="shared" si="8"/>
        <v>938.4675</v>
      </c>
      <c r="AB66" s="69">
        <f t="shared" si="9"/>
        <v>0</v>
      </c>
      <c r="AC66" s="69">
        <f t="shared" si="10"/>
        <v>0</v>
      </c>
      <c r="AD66" s="69">
        <f t="shared" si="11"/>
        <v>0</v>
      </c>
      <c r="AE66" s="69">
        <f t="shared" si="12"/>
        <v>0</v>
      </c>
      <c r="AF66" s="98">
        <f t="shared" si="13"/>
        <v>2189.7574999999997</v>
      </c>
      <c r="AG66" s="117">
        <v>32.5</v>
      </c>
      <c r="AH66" s="100" t="s">
        <v>43</v>
      </c>
      <c r="AI66" s="82"/>
      <c r="AJ66" s="23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2:94" s="39" customFormat="1" ht="19.5" thickBot="1" thickTop="1">
      <c r="B67" s="56">
        <v>63</v>
      </c>
      <c r="C67" s="101">
        <v>13907</v>
      </c>
      <c r="D67" s="101" t="s">
        <v>24</v>
      </c>
      <c r="E67" s="101">
        <v>9</v>
      </c>
      <c r="F67" s="101" t="s">
        <v>150</v>
      </c>
      <c r="G67" s="90">
        <v>0</v>
      </c>
      <c r="H67" s="90">
        <v>1</v>
      </c>
      <c r="I67" s="90">
        <v>0</v>
      </c>
      <c r="J67" s="90">
        <v>1</v>
      </c>
      <c r="K67" s="89">
        <v>0</v>
      </c>
      <c r="L67" s="89">
        <v>3</v>
      </c>
      <c r="M67" s="89">
        <v>1</v>
      </c>
      <c r="N67" s="90">
        <v>1</v>
      </c>
      <c r="O67" s="90">
        <v>0</v>
      </c>
      <c r="P67" s="90">
        <v>0</v>
      </c>
      <c r="Q67" s="90">
        <v>0</v>
      </c>
      <c r="R67" s="90">
        <v>0</v>
      </c>
      <c r="S67" s="90">
        <v>0</v>
      </c>
      <c r="T67" s="96">
        <v>1323.85</v>
      </c>
      <c r="U67" s="96"/>
      <c r="V67" s="96">
        <f>8540-T67</f>
        <v>7216.15</v>
      </c>
      <c r="W67" s="96"/>
      <c r="X67" s="96"/>
      <c r="Y67" s="96"/>
      <c r="Z67" s="92">
        <f t="shared" si="7"/>
        <v>2626.025</v>
      </c>
      <c r="AA67" s="92">
        <f t="shared" si="8"/>
        <v>0</v>
      </c>
      <c r="AB67" s="92">
        <f t="shared" si="9"/>
        <v>0</v>
      </c>
      <c r="AC67" s="92">
        <f t="shared" si="10"/>
        <v>0</v>
      </c>
      <c r="AD67" s="92">
        <f t="shared" si="11"/>
        <v>0</v>
      </c>
      <c r="AE67" s="92">
        <f t="shared" si="12"/>
        <v>0</v>
      </c>
      <c r="AF67" s="103">
        <f t="shared" si="13"/>
        <v>2626.025</v>
      </c>
      <c r="AG67" s="70">
        <v>32.5</v>
      </c>
      <c r="AH67" s="118" t="s">
        <v>23</v>
      </c>
      <c r="AI67" s="106"/>
      <c r="AJ67" s="49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</row>
    <row r="68" spans="2:94" s="25" customFormat="1" ht="19.5" thickBot="1" thickTop="1">
      <c r="B68" s="56">
        <v>64</v>
      </c>
      <c r="C68" s="65">
        <v>15473</v>
      </c>
      <c r="D68" s="65" t="s">
        <v>21</v>
      </c>
      <c r="E68" s="65">
        <v>3</v>
      </c>
      <c r="F68" s="65" t="s">
        <v>205</v>
      </c>
      <c r="G68" s="66">
        <v>0</v>
      </c>
      <c r="H68" s="66">
        <v>1</v>
      </c>
      <c r="I68" s="56">
        <v>0</v>
      </c>
      <c r="J68" s="66">
        <v>1</v>
      </c>
      <c r="K68" s="56">
        <v>0</v>
      </c>
      <c r="L68" s="56">
        <v>5</v>
      </c>
      <c r="M68" s="56">
        <v>1</v>
      </c>
      <c r="N68" s="66">
        <v>1</v>
      </c>
      <c r="O68" s="66">
        <v>1</v>
      </c>
      <c r="P68" s="66">
        <v>1</v>
      </c>
      <c r="Q68" s="66">
        <v>0</v>
      </c>
      <c r="R68" s="66">
        <v>0</v>
      </c>
      <c r="S68" s="66">
        <v>0</v>
      </c>
      <c r="T68" s="74">
        <v>10695.34</v>
      </c>
      <c r="U68" s="74"/>
      <c r="V68" s="74">
        <f>2500+12355-T68</f>
        <v>4159.66</v>
      </c>
      <c r="W68" s="74"/>
      <c r="X68" s="74"/>
      <c r="Y68" s="74"/>
      <c r="Z68" s="69">
        <f t="shared" si="7"/>
        <v>1901.466</v>
      </c>
      <c r="AA68" s="69">
        <f t="shared" si="8"/>
        <v>570.4398</v>
      </c>
      <c r="AB68" s="69">
        <f t="shared" si="9"/>
        <v>0</v>
      </c>
      <c r="AC68" s="69">
        <f t="shared" si="10"/>
        <v>0</v>
      </c>
      <c r="AD68" s="69">
        <f t="shared" si="11"/>
        <v>0</v>
      </c>
      <c r="AE68" s="69">
        <f t="shared" si="12"/>
        <v>0</v>
      </c>
      <c r="AF68" s="98">
        <f t="shared" si="13"/>
        <v>1331.0261999999998</v>
      </c>
      <c r="AG68" s="70">
        <v>32.5</v>
      </c>
      <c r="AH68" s="112" t="s">
        <v>64</v>
      </c>
      <c r="AI68" s="78"/>
      <c r="AJ68" s="23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2:94" s="39" customFormat="1" ht="19.5" thickBot="1" thickTop="1">
      <c r="B69" s="56">
        <v>65</v>
      </c>
      <c r="C69" s="65">
        <v>15328</v>
      </c>
      <c r="D69" s="65" t="s">
        <v>24</v>
      </c>
      <c r="E69" s="65">
        <v>3</v>
      </c>
      <c r="F69" s="65" t="s">
        <v>227</v>
      </c>
      <c r="G69" s="56">
        <v>0</v>
      </c>
      <c r="H69" s="66">
        <v>1</v>
      </c>
      <c r="I69" s="66">
        <v>0</v>
      </c>
      <c r="J69" s="66">
        <v>1</v>
      </c>
      <c r="K69" s="56">
        <v>0</v>
      </c>
      <c r="L69" s="56">
        <v>6</v>
      </c>
      <c r="M69" s="66">
        <v>1</v>
      </c>
      <c r="N69" s="66">
        <v>1</v>
      </c>
      <c r="O69" s="66">
        <v>0</v>
      </c>
      <c r="P69" s="66">
        <v>1</v>
      </c>
      <c r="Q69" s="66">
        <v>0</v>
      </c>
      <c r="R69" s="66">
        <v>0</v>
      </c>
      <c r="S69" s="66">
        <v>0</v>
      </c>
      <c r="T69" s="67">
        <f>16057.25+18361.56</f>
        <v>34418.81</v>
      </c>
      <c r="U69" s="67"/>
      <c r="V69" s="67">
        <f>16262.4+18371.63-T69</f>
        <v>215.22000000000116</v>
      </c>
      <c r="W69" s="67"/>
      <c r="X69" s="68"/>
      <c r="Y69" s="68"/>
      <c r="Z69" s="69">
        <f aca="true" t="shared" si="14" ref="Z69:Z101">((T69*50%+U69*85%+V69)/L69)+W69</f>
        <v>2904.1041666666665</v>
      </c>
      <c r="AA69" s="69">
        <f aca="true" t="shared" si="15" ref="AA69:AA100">IF(O69=1,Z69*30%,0)</f>
        <v>0</v>
      </c>
      <c r="AB69" s="69">
        <f aca="true" t="shared" si="16" ref="AB69:AB101">IF(K69=1,Z69*20%,0)</f>
        <v>0</v>
      </c>
      <c r="AC69" s="69">
        <f aca="true" t="shared" si="17" ref="AC69:AC101">IF(R69=1,Z69*10%,0)</f>
        <v>0</v>
      </c>
      <c r="AD69" s="69">
        <f aca="true" t="shared" si="18" ref="AD69:AD101">IF(S69=1,Z69*30%,0)</f>
        <v>0</v>
      </c>
      <c r="AE69" s="69">
        <f aca="true" t="shared" si="19" ref="AE69:AE101">IF(I69=1,Z69*30%,0)</f>
        <v>0</v>
      </c>
      <c r="AF69" s="98">
        <f aca="true" t="shared" si="20" ref="AF69:AF100">Z69-AA69-AB69-AC69-AD69-AE69</f>
        <v>2904.1041666666665</v>
      </c>
      <c r="AG69" s="119">
        <v>32.5</v>
      </c>
      <c r="AH69" s="112" t="s">
        <v>23</v>
      </c>
      <c r="AI69" s="120"/>
      <c r="AJ69" s="49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</row>
    <row r="70" spans="2:94" s="25" customFormat="1" ht="19.5" thickBot="1" thickTop="1">
      <c r="B70" s="56">
        <v>66</v>
      </c>
      <c r="C70" s="95">
        <v>15353</v>
      </c>
      <c r="D70" s="95" t="s">
        <v>21</v>
      </c>
      <c r="E70" s="95">
        <v>5</v>
      </c>
      <c r="F70" s="95" t="s">
        <v>124</v>
      </c>
      <c r="G70" s="89">
        <v>0</v>
      </c>
      <c r="H70" s="89">
        <v>1</v>
      </c>
      <c r="I70" s="89">
        <v>0</v>
      </c>
      <c r="J70" s="89">
        <v>1</v>
      </c>
      <c r="K70" s="89">
        <v>0</v>
      </c>
      <c r="L70" s="89">
        <v>3</v>
      </c>
      <c r="M70" s="89">
        <v>1</v>
      </c>
      <c r="N70" s="89">
        <v>1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96">
        <f>13480.92+6946.85</f>
        <v>20427.77</v>
      </c>
      <c r="U70" s="96"/>
      <c r="V70" s="96">
        <f>16900.92+8960-T70</f>
        <v>5433.149999999998</v>
      </c>
      <c r="W70" s="96"/>
      <c r="X70" s="76"/>
      <c r="Y70" s="76"/>
      <c r="Z70" s="92">
        <f t="shared" si="14"/>
        <v>5215.678333333332</v>
      </c>
      <c r="AA70" s="92">
        <f t="shared" si="15"/>
        <v>0</v>
      </c>
      <c r="AB70" s="92">
        <f t="shared" si="16"/>
        <v>0</v>
      </c>
      <c r="AC70" s="92">
        <f t="shared" si="17"/>
        <v>0</v>
      </c>
      <c r="AD70" s="92">
        <f t="shared" si="18"/>
        <v>0</v>
      </c>
      <c r="AE70" s="92">
        <f t="shared" si="19"/>
        <v>0</v>
      </c>
      <c r="AF70" s="103">
        <f t="shared" si="20"/>
        <v>5215.678333333332</v>
      </c>
      <c r="AG70" s="70">
        <v>32</v>
      </c>
      <c r="AH70" s="121" t="s">
        <v>22</v>
      </c>
      <c r="AI70" s="97"/>
      <c r="AJ70" s="23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2:94" s="25" customFormat="1" ht="19.5" thickBot="1" thickTop="1">
      <c r="B71" s="56">
        <v>67</v>
      </c>
      <c r="C71" s="65">
        <v>13973</v>
      </c>
      <c r="D71" s="65" t="s">
        <v>24</v>
      </c>
      <c r="E71" s="65">
        <v>9</v>
      </c>
      <c r="F71" s="65" t="s">
        <v>189</v>
      </c>
      <c r="G71" s="66">
        <v>0</v>
      </c>
      <c r="H71" s="66">
        <v>1</v>
      </c>
      <c r="I71" s="56">
        <v>1</v>
      </c>
      <c r="J71" s="66">
        <v>1</v>
      </c>
      <c r="K71" s="56">
        <v>0</v>
      </c>
      <c r="L71" s="56">
        <v>3</v>
      </c>
      <c r="M71" s="56">
        <v>1</v>
      </c>
      <c r="N71" s="66">
        <v>1</v>
      </c>
      <c r="O71" s="66">
        <v>0</v>
      </c>
      <c r="P71" s="66">
        <v>0</v>
      </c>
      <c r="Q71" s="66">
        <v>1</v>
      </c>
      <c r="R71" s="66">
        <v>1</v>
      </c>
      <c r="S71" s="56">
        <v>0</v>
      </c>
      <c r="T71" s="74"/>
      <c r="U71" s="74"/>
      <c r="V71" s="74">
        <v>7890</v>
      </c>
      <c r="W71" s="74"/>
      <c r="X71" s="74"/>
      <c r="Y71" s="74"/>
      <c r="Z71" s="69">
        <f t="shared" si="14"/>
        <v>2630</v>
      </c>
      <c r="AA71" s="69">
        <f t="shared" si="15"/>
        <v>0</v>
      </c>
      <c r="AB71" s="69">
        <f t="shared" si="16"/>
        <v>0</v>
      </c>
      <c r="AC71" s="69">
        <f t="shared" si="17"/>
        <v>263</v>
      </c>
      <c r="AD71" s="69">
        <f t="shared" si="18"/>
        <v>0</v>
      </c>
      <c r="AE71" s="69">
        <f t="shared" si="19"/>
        <v>789</v>
      </c>
      <c r="AF71" s="98">
        <f t="shared" si="20"/>
        <v>1578</v>
      </c>
      <c r="AG71" s="122">
        <v>32</v>
      </c>
      <c r="AH71" s="100" t="s">
        <v>84</v>
      </c>
      <c r="AI71" s="71"/>
      <c r="AJ71" s="23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2:94" s="39" customFormat="1" ht="19.5" thickBot="1" thickTop="1">
      <c r="B72" s="56">
        <v>68</v>
      </c>
      <c r="C72" s="72">
        <v>13891</v>
      </c>
      <c r="D72" s="72" t="s">
        <v>24</v>
      </c>
      <c r="E72" s="72">
        <v>9</v>
      </c>
      <c r="F72" s="72" t="s">
        <v>229</v>
      </c>
      <c r="G72" s="56">
        <v>0</v>
      </c>
      <c r="H72" s="56">
        <v>1</v>
      </c>
      <c r="I72" s="56">
        <v>1</v>
      </c>
      <c r="J72" s="56">
        <v>1</v>
      </c>
      <c r="K72" s="56">
        <v>0</v>
      </c>
      <c r="L72" s="56">
        <v>3</v>
      </c>
      <c r="M72" s="56">
        <v>1</v>
      </c>
      <c r="N72" s="56">
        <v>1</v>
      </c>
      <c r="O72" s="56">
        <v>0</v>
      </c>
      <c r="P72" s="56">
        <v>0</v>
      </c>
      <c r="Q72" s="56">
        <v>0</v>
      </c>
      <c r="R72" s="56">
        <v>1</v>
      </c>
      <c r="S72" s="56">
        <v>0</v>
      </c>
      <c r="T72" s="74">
        <f>11453.88+2016</f>
        <v>13469.88</v>
      </c>
      <c r="U72" s="74"/>
      <c r="V72" s="74">
        <f>13472.95-T72</f>
        <v>3.070000000001528</v>
      </c>
      <c r="W72" s="74"/>
      <c r="X72" s="74"/>
      <c r="Y72" s="74"/>
      <c r="Z72" s="69">
        <f t="shared" si="14"/>
        <v>2246.0033333333336</v>
      </c>
      <c r="AA72" s="69">
        <f t="shared" si="15"/>
        <v>0</v>
      </c>
      <c r="AB72" s="69">
        <f t="shared" si="16"/>
        <v>0</v>
      </c>
      <c r="AC72" s="69">
        <f t="shared" si="17"/>
        <v>224.60033333333337</v>
      </c>
      <c r="AD72" s="69">
        <f t="shared" si="18"/>
        <v>0</v>
      </c>
      <c r="AE72" s="69">
        <f t="shared" si="19"/>
        <v>673.801</v>
      </c>
      <c r="AF72" s="98">
        <f t="shared" si="20"/>
        <v>1347.6020000000003</v>
      </c>
      <c r="AG72" s="111">
        <v>31.5</v>
      </c>
      <c r="AH72" s="123" t="s">
        <v>87</v>
      </c>
      <c r="AI72" s="124"/>
      <c r="AJ72" s="49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</row>
    <row r="73" spans="2:94" s="25" customFormat="1" ht="19.5" thickBot="1" thickTop="1">
      <c r="B73" s="56">
        <v>69</v>
      </c>
      <c r="C73" s="65">
        <v>2505</v>
      </c>
      <c r="D73" s="125" t="s">
        <v>20</v>
      </c>
      <c r="E73" s="65">
        <v>3</v>
      </c>
      <c r="F73" s="65" t="s">
        <v>192</v>
      </c>
      <c r="G73" s="89">
        <v>0</v>
      </c>
      <c r="H73" s="90">
        <v>1</v>
      </c>
      <c r="I73" s="90">
        <v>0</v>
      </c>
      <c r="J73" s="90">
        <v>1</v>
      </c>
      <c r="K73" s="89">
        <v>0</v>
      </c>
      <c r="L73" s="89">
        <v>6</v>
      </c>
      <c r="M73" s="90">
        <v>1</v>
      </c>
      <c r="N73" s="90">
        <v>1</v>
      </c>
      <c r="O73" s="90">
        <v>0</v>
      </c>
      <c r="P73" s="90">
        <v>0</v>
      </c>
      <c r="Q73" s="90">
        <v>0</v>
      </c>
      <c r="R73" s="90">
        <v>0</v>
      </c>
      <c r="S73" s="90">
        <v>0</v>
      </c>
      <c r="T73" s="91">
        <v>0</v>
      </c>
      <c r="U73" s="91"/>
      <c r="V73" s="91"/>
      <c r="W73" s="91"/>
      <c r="X73" s="68"/>
      <c r="Y73" s="68"/>
      <c r="Z73" s="92">
        <f t="shared" si="14"/>
        <v>0</v>
      </c>
      <c r="AA73" s="92">
        <f t="shared" si="15"/>
        <v>0</v>
      </c>
      <c r="AB73" s="92">
        <f t="shared" si="16"/>
        <v>0</v>
      </c>
      <c r="AC73" s="92">
        <f t="shared" si="17"/>
        <v>0</v>
      </c>
      <c r="AD73" s="92">
        <f t="shared" si="18"/>
        <v>0</v>
      </c>
      <c r="AE73" s="92">
        <f t="shared" si="19"/>
        <v>0</v>
      </c>
      <c r="AF73" s="92">
        <f t="shared" si="20"/>
        <v>0</v>
      </c>
      <c r="AG73" s="70">
        <v>31</v>
      </c>
      <c r="AH73" s="80" t="s">
        <v>86</v>
      </c>
      <c r="AI73" s="126"/>
      <c r="AJ73" s="23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2:94" s="25" customFormat="1" ht="19.5" thickBot="1" thickTop="1">
      <c r="B74" s="56">
        <v>70</v>
      </c>
      <c r="C74" s="65">
        <v>2025</v>
      </c>
      <c r="D74" s="65" t="s">
        <v>20</v>
      </c>
      <c r="E74" s="65">
        <v>9</v>
      </c>
      <c r="F74" s="65" t="s">
        <v>119</v>
      </c>
      <c r="G74" s="56">
        <v>0</v>
      </c>
      <c r="H74" s="66">
        <v>1</v>
      </c>
      <c r="I74" s="66">
        <v>1</v>
      </c>
      <c r="J74" s="66">
        <v>1</v>
      </c>
      <c r="K74" s="56">
        <v>0</v>
      </c>
      <c r="L74" s="56">
        <v>2</v>
      </c>
      <c r="M74" s="66">
        <v>1</v>
      </c>
      <c r="N74" s="66">
        <v>1</v>
      </c>
      <c r="O74" s="66">
        <v>0</v>
      </c>
      <c r="P74" s="66">
        <v>0</v>
      </c>
      <c r="Q74" s="66">
        <v>0</v>
      </c>
      <c r="R74" s="66">
        <v>1</v>
      </c>
      <c r="S74" s="66">
        <v>0</v>
      </c>
      <c r="T74" s="67">
        <f>1386.98+2170.08</f>
        <v>3557.06</v>
      </c>
      <c r="U74" s="67"/>
      <c r="V74" s="67">
        <f>6020-T74</f>
        <v>2462.94</v>
      </c>
      <c r="W74" s="67"/>
      <c r="X74" s="67"/>
      <c r="Y74" s="67"/>
      <c r="Z74" s="69">
        <f t="shared" si="14"/>
        <v>2120.735</v>
      </c>
      <c r="AA74" s="69">
        <f t="shared" si="15"/>
        <v>0</v>
      </c>
      <c r="AB74" s="69">
        <f t="shared" si="16"/>
        <v>0</v>
      </c>
      <c r="AC74" s="69">
        <f t="shared" si="17"/>
        <v>212.07350000000002</v>
      </c>
      <c r="AD74" s="69">
        <f t="shared" si="18"/>
        <v>0</v>
      </c>
      <c r="AE74" s="69">
        <f t="shared" si="19"/>
        <v>636.2205</v>
      </c>
      <c r="AF74" s="98">
        <f t="shared" si="20"/>
        <v>1272.4410000000003</v>
      </c>
      <c r="AG74" s="75">
        <v>30</v>
      </c>
      <c r="AH74" s="100" t="s">
        <v>29</v>
      </c>
      <c r="AI74" s="71"/>
      <c r="AJ74" s="23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2:94" s="25" customFormat="1" ht="33" thickBot="1" thickTop="1">
      <c r="B75" s="56">
        <v>71</v>
      </c>
      <c r="C75" s="72" t="s">
        <v>44</v>
      </c>
      <c r="D75" s="72" t="s">
        <v>24</v>
      </c>
      <c r="E75" s="72">
        <v>9</v>
      </c>
      <c r="F75" s="72" t="s">
        <v>125</v>
      </c>
      <c r="G75" s="56">
        <v>0</v>
      </c>
      <c r="H75" s="56">
        <v>1</v>
      </c>
      <c r="I75" s="56">
        <v>1</v>
      </c>
      <c r="J75" s="56">
        <v>1</v>
      </c>
      <c r="K75" s="56">
        <v>0</v>
      </c>
      <c r="L75" s="56">
        <v>4</v>
      </c>
      <c r="M75" s="56">
        <v>1</v>
      </c>
      <c r="N75" s="56">
        <v>1</v>
      </c>
      <c r="O75" s="56">
        <v>1</v>
      </c>
      <c r="P75" s="56">
        <v>0</v>
      </c>
      <c r="Q75" s="56">
        <v>0</v>
      </c>
      <c r="R75" s="56">
        <v>0</v>
      </c>
      <c r="S75" s="56">
        <v>0</v>
      </c>
      <c r="T75" s="127"/>
      <c r="U75" s="74"/>
      <c r="V75" s="74">
        <f>5452.5+6935</f>
        <v>12387.5</v>
      </c>
      <c r="W75" s="74"/>
      <c r="X75" s="74"/>
      <c r="Y75" s="74"/>
      <c r="Z75" s="69">
        <f t="shared" si="14"/>
        <v>3096.875</v>
      </c>
      <c r="AA75" s="69">
        <f t="shared" si="15"/>
        <v>929.0625</v>
      </c>
      <c r="AB75" s="69">
        <f t="shared" si="16"/>
        <v>0</v>
      </c>
      <c r="AC75" s="69">
        <f t="shared" si="17"/>
        <v>0</v>
      </c>
      <c r="AD75" s="69">
        <f t="shared" si="18"/>
        <v>0</v>
      </c>
      <c r="AE75" s="69">
        <f t="shared" si="19"/>
        <v>929.0625</v>
      </c>
      <c r="AF75" s="98">
        <f t="shared" si="20"/>
        <v>1238.75</v>
      </c>
      <c r="AG75" s="122">
        <v>29</v>
      </c>
      <c r="AH75" s="100" t="s">
        <v>31</v>
      </c>
      <c r="AI75" s="71"/>
      <c r="AJ75" s="23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2:94" s="39" customFormat="1" ht="19.5" thickBot="1" thickTop="1">
      <c r="B76" s="56">
        <v>72</v>
      </c>
      <c r="C76" s="65">
        <v>13962</v>
      </c>
      <c r="D76" s="65" t="s">
        <v>24</v>
      </c>
      <c r="E76" s="65">
        <v>9</v>
      </c>
      <c r="F76" s="65" t="s">
        <v>141</v>
      </c>
      <c r="G76" s="66">
        <v>0</v>
      </c>
      <c r="H76" s="66">
        <v>1</v>
      </c>
      <c r="I76" s="66">
        <v>0</v>
      </c>
      <c r="J76" s="66">
        <v>1</v>
      </c>
      <c r="K76" s="56">
        <v>0</v>
      </c>
      <c r="L76" s="56">
        <v>3</v>
      </c>
      <c r="M76" s="56">
        <v>1</v>
      </c>
      <c r="N76" s="66">
        <v>1</v>
      </c>
      <c r="O76" s="66">
        <v>0</v>
      </c>
      <c r="P76" s="66">
        <v>0</v>
      </c>
      <c r="Q76" s="66">
        <v>1</v>
      </c>
      <c r="R76" s="66">
        <v>0</v>
      </c>
      <c r="S76" s="66">
        <v>0</v>
      </c>
      <c r="T76" s="74">
        <v>698</v>
      </c>
      <c r="U76" s="74"/>
      <c r="V76" s="74">
        <f>3900+5765-T76</f>
        <v>8967</v>
      </c>
      <c r="W76" s="74"/>
      <c r="X76" s="74"/>
      <c r="Y76" s="74"/>
      <c r="Z76" s="69">
        <f t="shared" si="14"/>
        <v>3105.3333333333335</v>
      </c>
      <c r="AA76" s="69">
        <f t="shared" si="15"/>
        <v>0</v>
      </c>
      <c r="AB76" s="69">
        <f t="shared" si="16"/>
        <v>0</v>
      </c>
      <c r="AC76" s="69">
        <f t="shared" si="17"/>
        <v>0</v>
      </c>
      <c r="AD76" s="69">
        <f t="shared" si="18"/>
        <v>0</v>
      </c>
      <c r="AE76" s="69">
        <f t="shared" si="19"/>
        <v>0</v>
      </c>
      <c r="AF76" s="98">
        <f t="shared" si="20"/>
        <v>3105.3333333333335</v>
      </c>
      <c r="AG76" s="79">
        <v>29</v>
      </c>
      <c r="AH76" s="73" t="s">
        <v>37</v>
      </c>
      <c r="AI76" s="128"/>
      <c r="AJ76" s="49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</row>
    <row r="77" spans="2:94" s="25" customFormat="1" ht="19.5" thickBot="1" thickTop="1">
      <c r="B77" s="56">
        <v>73</v>
      </c>
      <c r="C77" s="65">
        <v>15402</v>
      </c>
      <c r="D77" s="65" t="s">
        <v>24</v>
      </c>
      <c r="E77" s="65">
        <v>3</v>
      </c>
      <c r="F77" s="65" t="s">
        <v>215</v>
      </c>
      <c r="G77" s="56">
        <v>0</v>
      </c>
      <c r="H77" s="66">
        <v>1</v>
      </c>
      <c r="I77" s="66">
        <v>0</v>
      </c>
      <c r="J77" s="66">
        <v>1</v>
      </c>
      <c r="K77" s="56">
        <v>0</v>
      </c>
      <c r="L77" s="56">
        <v>4</v>
      </c>
      <c r="M77" s="66">
        <v>1</v>
      </c>
      <c r="N77" s="66">
        <v>1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7">
        <f>1724.63+7256.4+587.44+2476.89</f>
        <v>12045.359999999999</v>
      </c>
      <c r="U77" s="67"/>
      <c r="V77" s="67">
        <f>3000+8340+2995.29-T77</f>
        <v>2289.930000000002</v>
      </c>
      <c r="W77" s="67"/>
      <c r="X77" s="68"/>
      <c r="Y77" s="68"/>
      <c r="Z77" s="69">
        <f t="shared" si="14"/>
        <v>2078.1525</v>
      </c>
      <c r="AA77" s="69">
        <f t="shared" si="15"/>
        <v>0</v>
      </c>
      <c r="AB77" s="69">
        <f t="shared" si="16"/>
        <v>0</v>
      </c>
      <c r="AC77" s="69">
        <f t="shared" si="17"/>
        <v>0</v>
      </c>
      <c r="AD77" s="69">
        <f t="shared" si="18"/>
        <v>0</v>
      </c>
      <c r="AE77" s="69">
        <f t="shared" si="19"/>
        <v>0</v>
      </c>
      <c r="AF77" s="98">
        <f t="shared" si="20"/>
        <v>2078.1525</v>
      </c>
      <c r="AG77" s="111">
        <v>29</v>
      </c>
      <c r="AH77" s="112" t="s">
        <v>95</v>
      </c>
      <c r="AI77" s="71"/>
      <c r="AJ77" s="23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2:94" s="25" customFormat="1" ht="19.5" thickBot="1" thickTop="1">
      <c r="B78" s="56">
        <v>74</v>
      </c>
      <c r="C78" s="65">
        <v>14426</v>
      </c>
      <c r="D78" s="65" t="s">
        <v>21</v>
      </c>
      <c r="E78" s="65">
        <v>9</v>
      </c>
      <c r="F78" s="65" t="s">
        <v>142</v>
      </c>
      <c r="G78" s="56">
        <v>0</v>
      </c>
      <c r="H78" s="66">
        <v>1</v>
      </c>
      <c r="I78" s="66">
        <v>0</v>
      </c>
      <c r="J78" s="66">
        <v>1</v>
      </c>
      <c r="K78" s="56">
        <v>1</v>
      </c>
      <c r="L78" s="56">
        <v>2</v>
      </c>
      <c r="M78" s="66">
        <v>1</v>
      </c>
      <c r="N78" s="66">
        <v>1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7">
        <v>7313.29</v>
      </c>
      <c r="U78" s="67">
        <v>791.01</v>
      </c>
      <c r="V78" s="67">
        <f>10882.21-T78-U78</f>
        <v>2777.909999999999</v>
      </c>
      <c r="W78" s="67"/>
      <c r="X78" s="67"/>
      <c r="Y78" s="67"/>
      <c r="Z78" s="69">
        <f t="shared" si="14"/>
        <v>3553.4567499999994</v>
      </c>
      <c r="AA78" s="69">
        <f t="shared" si="15"/>
        <v>0</v>
      </c>
      <c r="AB78" s="69">
        <f t="shared" si="16"/>
        <v>710.6913499999999</v>
      </c>
      <c r="AC78" s="69">
        <f t="shared" si="17"/>
        <v>0</v>
      </c>
      <c r="AD78" s="69">
        <f t="shared" si="18"/>
        <v>0</v>
      </c>
      <c r="AE78" s="69">
        <f t="shared" si="19"/>
        <v>0</v>
      </c>
      <c r="AF78" s="98">
        <f t="shared" si="20"/>
        <v>2842.7653999999993</v>
      </c>
      <c r="AG78" s="75">
        <v>28</v>
      </c>
      <c r="AH78" s="129" t="s">
        <v>27</v>
      </c>
      <c r="AI78" s="71"/>
      <c r="AJ78" s="23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  <row r="79" spans="2:94" s="25" customFormat="1" ht="19.5" thickBot="1" thickTop="1">
      <c r="B79" s="56">
        <v>75</v>
      </c>
      <c r="C79" s="65">
        <v>14413</v>
      </c>
      <c r="D79" s="65" t="s">
        <v>21</v>
      </c>
      <c r="E79" s="65">
        <v>9</v>
      </c>
      <c r="F79" s="65" t="s">
        <v>107</v>
      </c>
      <c r="G79" s="66">
        <v>0</v>
      </c>
      <c r="H79" s="66">
        <v>1</v>
      </c>
      <c r="I79" s="66">
        <v>0</v>
      </c>
      <c r="J79" s="66">
        <v>1</v>
      </c>
      <c r="K79" s="56">
        <v>0</v>
      </c>
      <c r="L79" s="56">
        <v>4</v>
      </c>
      <c r="M79" s="56">
        <v>1</v>
      </c>
      <c r="N79" s="66">
        <v>1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85"/>
      <c r="U79" s="74">
        <f>1831.95+2140.93</f>
        <v>3972.88</v>
      </c>
      <c r="V79" s="74">
        <f>7883.39+3666.49-U79</f>
        <v>7577.000000000001</v>
      </c>
      <c r="W79" s="74"/>
      <c r="X79" s="74"/>
      <c r="Y79" s="74"/>
      <c r="Z79" s="69">
        <f t="shared" si="14"/>
        <v>2738.487</v>
      </c>
      <c r="AA79" s="69">
        <f t="shared" si="15"/>
        <v>0</v>
      </c>
      <c r="AB79" s="69">
        <f t="shared" si="16"/>
        <v>0</v>
      </c>
      <c r="AC79" s="69">
        <f t="shared" si="17"/>
        <v>0</v>
      </c>
      <c r="AD79" s="69">
        <f t="shared" si="18"/>
        <v>0</v>
      </c>
      <c r="AE79" s="69">
        <f t="shared" si="19"/>
        <v>0</v>
      </c>
      <c r="AF79" s="98">
        <f t="shared" si="20"/>
        <v>2738.487</v>
      </c>
      <c r="AG79" s="130">
        <v>27.5</v>
      </c>
      <c r="AH79" s="131" t="s">
        <v>47</v>
      </c>
      <c r="AI79" s="78"/>
      <c r="AJ79" s="23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</row>
    <row r="80" spans="2:94" s="25" customFormat="1" ht="19.5" thickBot="1" thickTop="1">
      <c r="B80" s="56">
        <v>76</v>
      </c>
      <c r="C80" s="65">
        <v>15138</v>
      </c>
      <c r="D80" s="125" t="s">
        <v>24</v>
      </c>
      <c r="E80" s="65">
        <v>5</v>
      </c>
      <c r="F80" s="65" t="s">
        <v>163</v>
      </c>
      <c r="G80" s="66">
        <v>0</v>
      </c>
      <c r="H80" s="66">
        <v>1</v>
      </c>
      <c r="I80" s="66">
        <v>1</v>
      </c>
      <c r="J80" s="66">
        <v>1</v>
      </c>
      <c r="K80" s="56">
        <v>0</v>
      </c>
      <c r="L80" s="56">
        <v>4</v>
      </c>
      <c r="M80" s="56">
        <v>1</v>
      </c>
      <c r="N80" s="66">
        <v>1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74"/>
      <c r="U80" s="74"/>
      <c r="V80" s="74">
        <v>6300</v>
      </c>
      <c r="W80" s="74"/>
      <c r="X80" s="74"/>
      <c r="Y80" s="74"/>
      <c r="Z80" s="69">
        <f t="shared" si="14"/>
        <v>1575</v>
      </c>
      <c r="AA80" s="69">
        <f t="shared" si="15"/>
        <v>0</v>
      </c>
      <c r="AB80" s="69">
        <f t="shared" si="16"/>
        <v>0</v>
      </c>
      <c r="AC80" s="69">
        <f t="shared" si="17"/>
        <v>0</v>
      </c>
      <c r="AD80" s="69">
        <f t="shared" si="18"/>
        <v>0</v>
      </c>
      <c r="AE80" s="69">
        <f t="shared" si="19"/>
        <v>472.5</v>
      </c>
      <c r="AF80" s="98">
        <f t="shared" si="20"/>
        <v>1102.5</v>
      </c>
      <c r="AG80" s="132">
        <v>26.5</v>
      </c>
      <c r="AH80" s="133" t="s">
        <v>158</v>
      </c>
      <c r="AI80" s="134"/>
      <c r="AJ80" s="23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</row>
    <row r="81" spans="2:94" s="25" customFormat="1" ht="19.5" thickBot="1" thickTop="1">
      <c r="B81" s="56">
        <v>77</v>
      </c>
      <c r="C81" s="65">
        <v>2415</v>
      </c>
      <c r="D81" s="125" t="s">
        <v>20</v>
      </c>
      <c r="E81" s="65">
        <v>3</v>
      </c>
      <c r="F81" s="65" t="s">
        <v>109</v>
      </c>
      <c r="G81" s="56">
        <v>0</v>
      </c>
      <c r="H81" s="66">
        <v>1</v>
      </c>
      <c r="I81" s="66">
        <v>0</v>
      </c>
      <c r="J81" s="66">
        <v>1</v>
      </c>
      <c r="K81" s="56">
        <v>0</v>
      </c>
      <c r="L81" s="56">
        <v>4</v>
      </c>
      <c r="M81" s="66">
        <v>1</v>
      </c>
      <c r="N81" s="66">
        <v>1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7">
        <f>11499.31+248.65</f>
        <v>11747.96</v>
      </c>
      <c r="U81" s="67"/>
      <c r="V81" s="67">
        <f>17445.71+2500-T81</f>
        <v>8197.75</v>
      </c>
      <c r="W81" s="67"/>
      <c r="X81" s="68"/>
      <c r="Y81" s="68"/>
      <c r="Z81" s="69">
        <f t="shared" si="14"/>
        <v>3517.9325</v>
      </c>
      <c r="AA81" s="69">
        <f t="shared" si="15"/>
        <v>0</v>
      </c>
      <c r="AB81" s="69">
        <f t="shared" si="16"/>
        <v>0</v>
      </c>
      <c r="AC81" s="69">
        <f t="shared" si="17"/>
        <v>0</v>
      </c>
      <c r="AD81" s="69">
        <f t="shared" si="18"/>
        <v>0</v>
      </c>
      <c r="AE81" s="69">
        <f t="shared" si="19"/>
        <v>0</v>
      </c>
      <c r="AF81" s="98">
        <f t="shared" si="20"/>
        <v>3517.9325</v>
      </c>
      <c r="AG81" s="135">
        <v>26.5</v>
      </c>
      <c r="AH81" s="112" t="s">
        <v>87</v>
      </c>
      <c r="AI81" s="78"/>
      <c r="AJ81" s="23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</row>
    <row r="82" spans="2:94" s="25" customFormat="1" ht="19.5" thickBot="1" thickTop="1">
      <c r="B82" s="56">
        <v>78</v>
      </c>
      <c r="C82" s="72">
        <v>15367</v>
      </c>
      <c r="D82" s="72" t="s">
        <v>24</v>
      </c>
      <c r="E82" s="72">
        <v>3</v>
      </c>
      <c r="F82" s="72" t="s">
        <v>222</v>
      </c>
      <c r="G82" s="56">
        <v>0</v>
      </c>
      <c r="H82" s="56">
        <v>1</v>
      </c>
      <c r="I82" s="56">
        <v>0</v>
      </c>
      <c r="J82" s="56">
        <v>1</v>
      </c>
      <c r="K82" s="56">
        <v>0</v>
      </c>
      <c r="L82" s="56">
        <v>4</v>
      </c>
      <c r="M82" s="56">
        <v>1</v>
      </c>
      <c r="N82" s="56">
        <v>1</v>
      </c>
      <c r="O82" s="56">
        <v>0</v>
      </c>
      <c r="P82" s="56">
        <v>1</v>
      </c>
      <c r="Q82" s="56">
        <v>0</v>
      </c>
      <c r="R82" s="56">
        <v>0</v>
      </c>
      <c r="S82" s="56">
        <v>1</v>
      </c>
      <c r="T82" s="74">
        <f>7660.7+7660.7</f>
        <v>15321.4</v>
      </c>
      <c r="U82" s="74"/>
      <c r="V82" s="74">
        <f>10200+7660.71-T82</f>
        <v>2539.3099999999995</v>
      </c>
      <c r="W82" s="74"/>
      <c r="X82" s="76"/>
      <c r="Y82" s="76"/>
      <c r="Z82" s="69">
        <f t="shared" si="14"/>
        <v>2550.0024999999996</v>
      </c>
      <c r="AA82" s="69">
        <f t="shared" si="15"/>
        <v>0</v>
      </c>
      <c r="AB82" s="69">
        <f t="shared" si="16"/>
        <v>0</v>
      </c>
      <c r="AC82" s="69">
        <f t="shared" si="17"/>
        <v>0</v>
      </c>
      <c r="AD82" s="69">
        <f t="shared" si="18"/>
        <v>765.0007499999998</v>
      </c>
      <c r="AE82" s="69">
        <f t="shared" si="19"/>
        <v>0</v>
      </c>
      <c r="AF82" s="98">
        <f t="shared" si="20"/>
        <v>1785.00175</v>
      </c>
      <c r="AG82" s="136">
        <v>26</v>
      </c>
      <c r="AH82" s="112" t="s">
        <v>101</v>
      </c>
      <c r="AI82" s="82"/>
      <c r="AJ82" s="23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</row>
    <row r="83" spans="2:94" s="39" customFormat="1" ht="19.5" thickBot="1" thickTop="1">
      <c r="B83" s="56">
        <v>79</v>
      </c>
      <c r="C83" s="65">
        <v>13934</v>
      </c>
      <c r="D83" s="65" t="s">
        <v>24</v>
      </c>
      <c r="E83" s="65">
        <v>9</v>
      </c>
      <c r="F83" s="65" t="s">
        <v>151</v>
      </c>
      <c r="G83" s="56">
        <v>0</v>
      </c>
      <c r="H83" s="66">
        <v>1</v>
      </c>
      <c r="I83" s="66">
        <v>0</v>
      </c>
      <c r="J83" s="66">
        <v>1</v>
      </c>
      <c r="K83" s="56">
        <v>0</v>
      </c>
      <c r="L83" s="56">
        <v>4</v>
      </c>
      <c r="M83" s="66">
        <v>1</v>
      </c>
      <c r="N83" s="66">
        <v>1</v>
      </c>
      <c r="O83" s="66">
        <v>1</v>
      </c>
      <c r="P83" s="66">
        <v>0</v>
      </c>
      <c r="Q83" s="66">
        <v>0</v>
      </c>
      <c r="R83" s="66">
        <v>0</v>
      </c>
      <c r="S83" s="66">
        <v>0</v>
      </c>
      <c r="T83" s="67">
        <v>10501.96</v>
      </c>
      <c r="U83" s="67"/>
      <c r="V83" s="67">
        <f>5400+10738.68-T83</f>
        <v>5636.720000000001</v>
      </c>
      <c r="W83" s="67"/>
      <c r="X83" s="67"/>
      <c r="Y83" s="67"/>
      <c r="Z83" s="69">
        <f t="shared" si="14"/>
        <v>2721.925</v>
      </c>
      <c r="AA83" s="69">
        <f t="shared" si="15"/>
        <v>816.5775</v>
      </c>
      <c r="AB83" s="69">
        <f t="shared" si="16"/>
        <v>0</v>
      </c>
      <c r="AC83" s="69">
        <f t="shared" si="17"/>
        <v>0</v>
      </c>
      <c r="AD83" s="69">
        <f t="shared" si="18"/>
        <v>0</v>
      </c>
      <c r="AE83" s="69">
        <f t="shared" si="19"/>
        <v>0</v>
      </c>
      <c r="AF83" s="98">
        <f t="shared" si="20"/>
        <v>1905.3475000000003</v>
      </c>
      <c r="AG83" s="75">
        <v>25.5</v>
      </c>
      <c r="AH83" s="71" t="s">
        <v>22</v>
      </c>
      <c r="AI83" s="137"/>
      <c r="AJ83" s="49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</row>
    <row r="84" spans="2:94" s="39" customFormat="1" ht="19.5" thickBot="1" thickTop="1">
      <c r="B84" s="56">
        <v>80</v>
      </c>
      <c r="C84" s="65">
        <v>15467</v>
      </c>
      <c r="D84" s="65" t="s">
        <v>24</v>
      </c>
      <c r="E84" s="65">
        <v>3</v>
      </c>
      <c r="F84" s="65" t="s">
        <v>201</v>
      </c>
      <c r="G84" s="66">
        <v>0</v>
      </c>
      <c r="H84" s="66">
        <v>1</v>
      </c>
      <c r="I84" s="66">
        <v>0</v>
      </c>
      <c r="J84" s="66">
        <v>1</v>
      </c>
      <c r="K84" s="56">
        <v>0</v>
      </c>
      <c r="L84" s="56">
        <v>4</v>
      </c>
      <c r="M84" s="56">
        <v>1</v>
      </c>
      <c r="N84" s="66">
        <v>1</v>
      </c>
      <c r="O84" s="66">
        <v>1</v>
      </c>
      <c r="P84" s="66">
        <v>0</v>
      </c>
      <c r="Q84" s="66">
        <v>1</v>
      </c>
      <c r="R84" s="66">
        <v>1</v>
      </c>
      <c r="S84" s="66">
        <v>0</v>
      </c>
      <c r="T84" s="74"/>
      <c r="U84" s="74"/>
      <c r="V84" s="74">
        <v>6900</v>
      </c>
      <c r="W84" s="74"/>
      <c r="X84" s="74"/>
      <c r="Y84" s="74"/>
      <c r="Z84" s="69">
        <f t="shared" si="14"/>
        <v>1725</v>
      </c>
      <c r="AA84" s="69">
        <f t="shared" si="15"/>
        <v>517.5</v>
      </c>
      <c r="AB84" s="69">
        <f t="shared" si="16"/>
        <v>0</v>
      </c>
      <c r="AC84" s="69">
        <f t="shared" si="17"/>
        <v>172.5</v>
      </c>
      <c r="AD84" s="69">
        <f t="shared" si="18"/>
        <v>0</v>
      </c>
      <c r="AE84" s="69">
        <f t="shared" si="19"/>
        <v>0</v>
      </c>
      <c r="AF84" s="98">
        <f t="shared" si="20"/>
        <v>1035</v>
      </c>
      <c r="AG84" s="104">
        <v>25.5</v>
      </c>
      <c r="AH84" s="112" t="s">
        <v>91</v>
      </c>
      <c r="AI84" s="138"/>
      <c r="AJ84" s="49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</row>
    <row r="85" spans="2:94" s="25" customFormat="1" ht="19.5" thickBot="1" thickTop="1">
      <c r="B85" s="56">
        <v>81</v>
      </c>
      <c r="C85" s="72">
        <v>15492</v>
      </c>
      <c r="D85" s="72" t="s">
        <v>21</v>
      </c>
      <c r="E85" s="72">
        <v>3</v>
      </c>
      <c r="F85" s="72" t="s">
        <v>216</v>
      </c>
      <c r="G85" s="56">
        <v>0</v>
      </c>
      <c r="H85" s="56">
        <v>1</v>
      </c>
      <c r="I85" s="56">
        <v>1</v>
      </c>
      <c r="J85" s="56">
        <v>1</v>
      </c>
      <c r="K85" s="56">
        <v>0</v>
      </c>
      <c r="L85" s="56">
        <v>5</v>
      </c>
      <c r="M85" s="56">
        <v>1</v>
      </c>
      <c r="N85" s="56">
        <v>1</v>
      </c>
      <c r="O85" s="56">
        <v>0</v>
      </c>
      <c r="P85" s="56">
        <v>0</v>
      </c>
      <c r="Q85" s="56">
        <v>1</v>
      </c>
      <c r="R85" s="56">
        <v>0</v>
      </c>
      <c r="S85" s="56">
        <v>0</v>
      </c>
      <c r="T85" s="74">
        <v>11624.59</v>
      </c>
      <c r="U85" s="74"/>
      <c r="V85" s="74">
        <f>7000+11629.74-T85</f>
        <v>7005.149999999998</v>
      </c>
      <c r="W85" s="74"/>
      <c r="X85" s="74"/>
      <c r="Y85" s="74"/>
      <c r="Z85" s="69">
        <f t="shared" si="14"/>
        <v>2563.4889999999996</v>
      </c>
      <c r="AA85" s="69">
        <f t="shared" si="15"/>
        <v>0</v>
      </c>
      <c r="AB85" s="69">
        <f t="shared" si="16"/>
        <v>0</v>
      </c>
      <c r="AC85" s="69">
        <f t="shared" si="17"/>
        <v>0</v>
      </c>
      <c r="AD85" s="69">
        <f t="shared" si="18"/>
        <v>0</v>
      </c>
      <c r="AE85" s="69">
        <f t="shared" si="19"/>
        <v>769.0466999999999</v>
      </c>
      <c r="AF85" s="98">
        <f t="shared" si="20"/>
        <v>1794.4422999999997</v>
      </c>
      <c r="AG85" s="70">
        <v>25.5</v>
      </c>
      <c r="AH85" s="80" t="s">
        <v>96</v>
      </c>
      <c r="AI85" s="71"/>
      <c r="AJ85" s="23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</row>
    <row r="86" spans="2:94" s="25" customFormat="1" ht="19.5" thickBot="1" thickTop="1">
      <c r="B86" s="56">
        <v>82</v>
      </c>
      <c r="C86" s="72">
        <v>13865</v>
      </c>
      <c r="D86" s="72" t="s">
        <v>24</v>
      </c>
      <c r="E86" s="72">
        <v>9</v>
      </c>
      <c r="F86" s="72" t="s">
        <v>137</v>
      </c>
      <c r="G86" s="56">
        <v>0</v>
      </c>
      <c r="H86" s="56">
        <v>1</v>
      </c>
      <c r="I86" s="56">
        <v>1</v>
      </c>
      <c r="J86" s="56">
        <v>1</v>
      </c>
      <c r="K86" s="56">
        <v>0</v>
      </c>
      <c r="L86" s="56">
        <v>3</v>
      </c>
      <c r="M86" s="56">
        <v>1</v>
      </c>
      <c r="N86" s="56">
        <v>1</v>
      </c>
      <c r="O86" s="56">
        <v>0</v>
      </c>
      <c r="P86" s="56">
        <v>1</v>
      </c>
      <c r="Q86" s="56">
        <v>0</v>
      </c>
      <c r="R86" s="56">
        <v>0</v>
      </c>
      <c r="S86" s="56">
        <v>1</v>
      </c>
      <c r="T86" s="74">
        <v>7070.28</v>
      </c>
      <c r="U86" s="74"/>
      <c r="V86" s="74">
        <f>17980.54-T86</f>
        <v>10910.260000000002</v>
      </c>
      <c r="W86" s="74"/>
      <c r="X86" s="74"/>
      <c r="Y86" s="74"/>
      <c r="Z86" s="69">
        <f t="shared" si="14"/>
        <v>4815.133333333334</v>
      </c>
      <c r="AA86" s="69">
        <f t="shared" si="15"/>
        <v>0</v>
      </c>
      <c r="AB86" s="69">
        <f t="shared" si="16"/>
        <v>0</v>
      </c>
      <c r="AC86" s="69">
        <f t="shared" si="17"/>
        <v>0</v>
      </c>
      <c r="AD86" s="69">
        <f t="shared" si="18"/>
        <v>1444.5400000000002</v>
      </c>
      <c r="AE86" s="69">
        <f t="shared" si="19"/>
        <v>1444.5400000000002</v>
      </c>
      <c r="AF86" s="98">
        <f t="shared" si="20"/>
        <v>1926.053333333334</v>
      </c>
      <c r="AG86" s="79">
        <v>25</v>
      </c>
      <c r="AH86" s="78" t="s">
        <v>23</v>
      </c>
      <c r="AI86" s="78"/>
      <c r="AJ86" s="23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</row>
    <row r="87" spans="2:94" s="39" customFormat="1" ht="19.5" thickBot="1" thickTop="1">
      <c r="B87" s="56">
        <v>83</v>
      </c>
      <c r="C87" s="65">
        <v>2008</v>
      </c>
      <c r="D87" s="65" t="s">
        <v>20</v>
      </c>
      <c r="E87" s="65">
        <v>9</v>
      </c>
      <c r="F87" s="65" t="s">
        <v>146</v>
      </c>
      <c r="G87" s="56">
        <v>0</v>
      </c>
      <c r="H87" s="66">
        <v>1</v>
      </c>
      <c r="I87" s="66">
        <v>0</v>
      </c>
      <c r="J87" s="66">
        <v>1</v>
      </c>
      <c r="K87" s="56">
        <v>0</v>
      </c>
      <c r="L87" s="56">
        <v>3</v>
      </c>
      <c r="M87" s="66">
        <v>1</v>
      </c>
      <c r="N87" s="66">
        <v>1</v>
      </c>
      <c r="O87" s="66">
        <v>0</v>
      </c>
      <c r="P87" s="66">
        <v>0</v>
      </c>
      <c r="Q87" s="66">
        <v>0</v>
      </c>
      <c r="R87" s="66">
        <v>0</v>
      </c>
      <c r="S87" s="66">
        <v>1</v>
      </c>
      <c r="T87" s="67">
        <v>9616.18</v>
      </c>
      <c r="U87" s="67"/>
      <c r="V87" s="67">
        <f>9616.19+2500-T87</f>
        <v>2500.01</v>
      </c>
      <c r="W87" s="67"/>
      <c r="X87" s="67"/>
      <c r="Y87" s="67"/>
      <c r="Z87" s="69">
        <f t="shared" si="14"/>
        <v>2436.0333333333333</v>
      </c>
      <c r="AA87" s="69">
        <f t="shared" si="15"/>
        <v>0</v>
      </c>
      <c r="AB87" s="69">
        <f t="shared" si="16"/>
        <v>0</v>
      </c>
      <c r="AC87" s="69">
        <f t="shared" si="17"/>
        <v>0</v>
      </c>
      <c r="AD87" s="69">
        <f t="shared" si="18"/>
        <v>730.81</v>
      </c>
      <c r="AE87" s="69">
        <f t="shared" si="19"/>
        <v>0</v>
      </c>
      <c r="AF87" s="98">
        <f t="shared" si="20"/>
        <v>1705.2233333333334</v>
      </c>
      <c r="AG87" s="139">
        <v>25</v>
      </c>
      <c r="AH87" s="78" t="s">
        <v>32</v>
      </c>
      <c r="AI87" s="140"/>
      <c r="AJ87" s="49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</row>
    <row r="88" spans="2:94" s="25" customFormat="1" ht="19.5" thickBot="1" thickTop="1">
      <c r="B88" s="56">
        <v>84</v>
      </c>
      <c r="C88" s="65">
        <v>15373</v>
      </c>
      <c r="D88" s="65" t="s">
        <v>21</v>
      </c>
      <c r="E88" s="65">
        <v>3</v>
      </c>
      <c r="F88" s="65" t="s">
        <v>198</v>
      </c>
      <c r="G88" s="66">
        <v>0</v>
      </c>
      <c r="H88" s="66">
        <v>1</v>
      </c>
      <c r="I88" s="56">
        <v>0</v>
      </c>
      <c r="J88" s="66">
        <v>1</v>
      </c>
      <c r="K88" s="56">
        <v>0</v>
      </c>
      <c r="L88" s="56">
        <v>4</v>
      </c>
      <c r="M88" s="56">
        <v>1</v>
      </c>
      <c r="N88" s="66">
        <v>1</v>
      </c>
      <c r="O88" s="66">
        <v>1</v>
      </c>
      <c r="P88" s="66">
        <v>0</v>
      </c>
      <c r="Q88" s="66">
        <v>1</v>
      </c>
      <c r="R88" s="66">
        <v>1</v>
      </c>
      <c r="S88" s="66">
        <v>0</v>
      </c>
      <c r="T88" s="74">
        <v>10044.02</v>
      </c>
      <c r="U88" s="74"/>
      <c r="V88" s="74">
        <f>11200-T88</f>
        <v>1155.9799999999996</v>
      </c>
      <c r="W88" s="74"/>
      <c r="X88" s="76"/>
      <c r="Y88" s="76"/>
      <c r="Z88" s="69">
        <f t="shared" si="14"/>
        <v>1544.4975</v>
      </c>
      <c r="AA88" s="69">
        <f t="shared" si="15"/>
        <v>463.34925</v>
      </c>
      <c r="AB88" s="69">
        <f t="shared" si="16"/>
        <v>0</v>
      </c>
      <c r="AC88" s="69">
        <f t="shared" si="17"/>
        <v>154.44975</v>
      </c>
      <c r="AD88" s="69">
        <f t="shared" si="18"/>
        <v>0</v>
      </c>
      <c r="AE88" s="69">
        <f t="shared" si="19"/>
        <v>0</v>
      </c>
      <c r="AF88" s="98">
        <f t="shared" si="20"/>
        <v>926.6985</v>
      </c>
      <c r="AG88" s="70">
        <v>25</v>
      </c>
      <c r="AH88" s="80" t="s">
        <v>89</v>
      </c>
      <c r="AI88" s="71"/>
      <c r="AJ88" s="23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</row>
    <row r="89" spans="2:94" s="39" customFormat="1" ht="19.5" thickBot="1" thickTop="1">
      <c r="B89" s="56">
        <v>85</v>
      </c>
      <c r="C89" s="65">
        <v>15170</v>
      </c>
      <c r="D89" s="65" t="s">
        <v>24</v>
      </c>
      <c r="E89" s="65">
        <v>5</v>
      </c>
      <c r="F89" s="65" t="s">
        <v>175</v>
      </c>
      <c r="G89" s="66">
        <v>0</v>
      </c>
      <c r="H89" s="66">
        <v>1</v>
      </c>
      <c r="I89" s="66">
        <v>0</v>
      </c>
      <c r="J89" s="66">
        <v>1</v>
      </c>
      <c r="K89" s="56">
        <v>0</v>
      </c>
      <c r="L89" s="56">
        <v>4</v>
      </c>
      <c r="M89" s="56">
        <v>1</v>
      </c>
      <c r="N89" s="66">
        <v>1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74">
        <f>1656.33+3144.96</f>
        <v>4801.29</v>
      </c>
      <c r="U89" s="74"/>
      <c r="V89" s="74">
        <f>5440-T89</f>
        <v>638.71</v>
      </c>
      <c r="W89" s="74"/>
      <c r="X89" s="74"/>
      <c r="Y89" s="74"/>
      <c r="Z89" s="69">
        <f t="shared" si="14"/>
        <v>759.83875</v>
      </c>
      <c r="AA89" s="69">
        <f t="shared" si="15"/>
        <v>0</v>
      </c>
      <c r="AB89" s="69">
        <f t="shared" si="16"/>
        <v>0</v>
      </c>
      <c r="AC89" s="69">
        <f t="shared" si="17"/>
        <v>0</v>
      </c>
      <c r="AD89" s="69">
        <f t="shared" si="18"/>
        <v>0</v>
      </c>
      <c r="AE89" s="69">
        <f t="shared" si="19"/>
        <v>0</v>
      </c>
      <c r="AF89" s="98">
        <f t="shared" si="20"/>
        <v>759.83875</v>
      </c>
      <c r="AG89" s="79">
        <v>24.5</v>
      </c>
      <c r="AH89" s="141" t="s">
        <v>72</v>
      </c>
      <c r="AI89" s="140"/>
      <c r="AJ89" s="49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</row>
    <row r="90" spans="2:94" s="25" customFormat="1" ht="19.5" thickBot="1" thickTop="1">
      <c r="B90" s="56">
        <v>86</v>
      </c>
      <c r="C90" s="65">
        <v>15347</v>
      </c>
      <c r="D90" s="65" t="s">
        <v>24</v>
      </c>
      <c r="E90" s="65">
        <v>3</v>
      </c>
      <c r="F90" s="65" t="s">
        <v>206</v>
      </c>
      <c r="G90" s="89">
        <v>0</v>
      </c>
      <c r="H90" s="90">
        <v>1</v>
      </c>
      <c r="I90" s="90">
        <v>0</v>
      </c>
      <c r="J90" s="90">
        <v>1</v>
      </c>
      <c r="K90" s="89">
        <v>0</v>
      </c>
      <c r="L90" s="89">
        <v>6</v>
      </c>
      <c r="M90" s="90">
        <v>1</v>
      </c>
      <c r="N90" s="90">
        <v>1</v>
      </c>
      <c r="O90" s="90">
        <v>1</v>
      </c>
      <c r="P90" s="90">
        <v>1</v>
      </c>
      <c r="Q90" s="90">
        <v>0</v>
      </c>
      <c r="R90" s="90">
        <v>0</v>
      </c>
      <c r="S90" s="90">
        <v>0</v>
      </c>
      <c r="T90" s="91">
        <f>16142.34+8265.72</f>
        <v>24408.059999999998</v>
      </c>
      <c r="U90" s="91"/>
      <c r="V90" s="91"/>
      <c r="W90" s="91"/>
      <c r="X90" s="68"/>
      <c r="Y90" s="68"/>
      <c r="Z90" s="92">
        <f t="shared" si="14"/>
        <v>2034.0049999999999</v>
      </c>
      <c r="AA90" s="92">
        <f t="shared" si="15"/>
        <v>610.2014999999999</v>
      </c>
      <c r="AB90" s="92">
        <f t="shared" si="16"/>
        <v>0</v>
      </c>
      <c r="AC90" s="92">
        <f t="shared" si="17"/>
        <v>0</v>
      </c>
      <c r="AD90" s="92">
        <f t="shared" si="18"/>
        <v>0</v>
      </c>
      <c r="AE90" s="92">
        <f t="shared" si="19"/>
        <v>0</v>
      </c>
      <c r="AF90" s="103">
        <f t="shared" si="20"/>
        <v>1423.8035</v>
      </c>
      <c r="AG90" s="104">
        <v>24</v>
      </c>
      <c r="AH90" s="105" t="s">
        <v>94</v>
      </c>
      <c r="AI90" s="142"/>
      <c r="AJ90" s="23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</row>
    <row r="91" spans="2:94" s="25" customFormat="1" ht="27.75" thickBot="1" thickTop="1">
      <c r="B91" s="56">
        <v>87</v>
      </c>
      <c r="C91" s="72">
        <v>15298</v>
      </c>
      <c r="D91" s="72" t="s">
        <v>21</v>
      </c>
      <c r="E91" s="72">
        <v>5</v>
      </c>
      <c r="F91" s="72" t="s">
        <v>165</v>
      </c>
      <c r="G91" s="153">
        <v>0</v>
      </c>
      <c r="H91" s="153">
        <v>1</v>
      </c>
      <c r="I91" s="153">
        <v>0</v>
      </c>
      <c r="J91" s="153">
        <v>1</v>
      </c>
      <c r="K91" s="153">
        <v>0</v>
      </c>
      <c r="L91" s="153">
        <v>5</v>
      </c>
      <c r="M91" s="153">
        <v>1</v>
      </c>
      <c r="N91" s="153">
        <v>1</v>
      </c>
      <c r="O91" s="153">
        <v>0</v>
      </c>
      <c r="P91" s="153">
        <v>0</v>
      </c>
      <c r="Q91" s="153">
        <v>1</v>
      </c>
      <c r="R91" s="153">
        <v>0</v>
      </c>
      <c r="S91" s="153">
        <v>0</v>
      </c>
      <c r="T91" s="74">
        <f>13652.43+350.28</f>
        <v>14002.710000000001</v>
      </c>
      <c r="U91" s="74"/>
      <c r="V91" s="74">
        <f>14063.24+3780-T91</f>
        <v>3840.529999999997</v>
      </c>
      <c r="W91" s="74"/>
      <c r="X91" s="74"/>
      <c r="Y91" s="74"/>
      <c r="Z91" s="69">
        <f t="shared" si="14"/>
        <v>2168.3769999999995</v>
      </c>
      <c r="AA91" s="69">
        <f t="shared" si="15"/>
        <v>0</v>
      </c>
      <c r="AB91" s="69">
        <f t="shared" si="16"/>
        <v>0</v>
      </c>
      <c r="AC91" s="69">
        <f t="shared" si="17"/>
        <v>0</v>
      </c>
      <c r="AD91" s="69">
        <f t="shared" si="18"/>
        <v>0</v>
      </c>
      <c r="AE91" s="69">
        <f t="shared" si="19"/>
        <v>0</v>
      </c>
      <c r="AF91" s="98">
        <f t="shared" si="20"/>
        <v>2168.3769999999995</v>
      </c>
      <c r="AG91" s="143">
        <v>23.5</v>
      </c>
      <c r="AH91" s="80" t="s">
        <v>66</v>
      </c>
      <c r="AI91" s="77"/>
      <c r="AJ91" s="23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</row>
    <row r="92" spans="2:94" s="25" customFormat="1" ht="19.5" thickBot="1" thickTop="1">
      <c r="B92" s="56">
        <v>88</v>
      </c>
      <c r="C92" s="72">
        <v>15181</v>
      </c>
      <c r="D92" s="72" t="s">
        <v>24</v>
      </c>
      <c r="E92" s="72">
        <v>5</v>
      </c>
      <c r="F92" s="72" t="s">
        <v>174</v>
      </c>
      <c r="G92" s="56">
        <v>0</v>
      </c>
      <c r="H92" s="56">
        <v>1</v>
      </c>
      <c r="I92" s="56">
        <v>1</v>
      </c>
      <c r="J92" s="56">
        <v>1</v>
      </c>
      <c r="K92" s="56">
        <v>0</v>
      </c>
      <c r="L92" s="56">
        <v>5</v>
      </c>
      <c r="M92" s="56">
        <v>1</v>
      </c>
      <c r="N92" s="56">
        <v>1</v>
      </c>
      <c r="O92" s="56">
        <v>0</v>
      </c>
      <c r="P92" s="56">
        <v>0</v>
      </c>
      <c r="Q92" s="56">
        <v>1</v>
      </c>
      <c r="R92" s="56">
        <v>0</v>
      </c>
      <c r="S92" s="56">
        <v>0</v>
      </c>
      <c r="T92" s="74">
        <f>17193.47+5922.3</f>
        <v>23115.77</v>
      </c>
      <c r="U92" s="74"/>
      <c r="V92" s="74">
        <f>17193.47+12422-T92</f>
        <v>6499.700000000001</v>
      </c>
      <c r="W92" s="74"/>
      <c r="X92" s="74"/>
      <c r="Y92" s="74"/>
      <c r="Z92" s="69">
        <f t="shared" si="14"/>
        <v>3611.517</v>
      </c>
      <c r="AA92" s="69">
        <f t="shared" si="15"/>
        <v>0</v>
      </c>
      <c r="AB92" s="69">
        <f t="shared" si="16"/>
        <v>0</v>
      </c>
      <c r="AC92" s="69">
        <f t="shared" si="17"/>
        <v>0</v>
      </c>
      <c r="AD92" s="69">
        <f t="shared" si="18"/>
        <v>0</v>
      </c>
      <c r="AE92" s="69">
        <f t="shared" si="19"/>
        <v>1083.4551</v>
      </c>
      <c r="AF92" s="98">
        <f t="shared" si="20"/>
        <v>2528.0618999999997</v>
      </c>
      <c r="AG92" s="144">
        <v>23</v>
      </c>
      <c r="AH92" s="83" t="s">
        <v>22</v>
      </c>
      <c r="AI92" s="83"/>
      <c r="AJ92" s="23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</row>
    <row r="93" spans="2:94" s="39" customFormat="1" ht="19.5" thickBot="1" thickTop="1">
      <c r="B93" s="56">
        <v>89</v>
      </c>
      <c r="C93" s="72">
        <v>15429</v>
      </c>
      <c r="D93" s="72" t="s">
        <v>21</v>
      </c>
      <c r="E93" s="72">
        <v>3</v>
      </c>
      <c r="F93" s="72" t="s">
        <v>202</v>
      </c>
      <c r="G93" s="56">
        <v>0</v>
      </c>
      <c r="H93" s="56">
        <v>1</v>
      </c>
      <c r="I93" s="56">
        <v>1</v>
      </c>
      <c r="J93" s="56">
        <v>1</v>
      </c>
      <c r="K93" s="56">
        <v>0</v>
      </c>
      <c r="L93" s="56">
        <v>4</v>
      </c>
      <c r="M93" s="56">
        <v>1</v>
      </c>
      <c r="N93" s="56">
        <v>1</v>
      </c>
      <c r="O93" s="56">
        <v>1</v>
      </c>
      <c r="P93" s="56">
        <v>0</v>
      </c>
      <c r="Q93" s="56">
        <v>0</v>
      </c>
      <c r="R93" s="56">
        <v>0</v>
      </c>
      <c r="S93" s="56">
        <v>0</v>
      </c>
      <c r="T93" s="74">
        <v>15668.24</v>
      </c>
      <c r="U93" s="74"/>
      <c r="V93" s="74">
        <f>15674.83+5840-T93</f>
        <v>5846.590000000002</v>
      </c>
      <c r="W93" s="74"/>
      <c r="X93" s="74"/>
      <c r="Y93" s="74"/>
      <c r="Z93" s="69">
        <f t="shared" si="14"/>
        <v>3420.1775000000007</v>
      </c>
      <c r="AA93" s="69">
        <f t="shared" si="15"/>
        <v>1026.0532500000002</v>
      </c>
      <c r="AB93" s="69">
        <f t="shared" si="16"/>
        <v>0</v>
      </c>
      <c r="AC93" s="69">
        <f t="shared" si="17"/>
        <v>0</v>
      </c>
      <c r="AD93" s="69">
        <f t="shared" si="18"/>
        <v>0</v>
      </c>
      <c r="AE93" s="69">
        <f t="shared" si="19"/>
        <v>1026.0532500000002</v>
      </c>
      <c r="AF93" s="98">
        <f t="shared" si="20"/>
        <v>1368.0710000000006</v>
      </c>
      <c r="AG93" s="70">
        <v>23</v>
      </c>
      <c r="AH93" s="112" t="s">
        <v>22</v>
      </c>
      <c r="AI93" s="86"/>
      <c r="AJ93" s="49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</row>
    <row r="94" spans="2:94" s="25" customFormat="1" ht="19.5" thickBot="1" thickTop="1">
      <c r="B94" s="56">
        <v>90</v>
      </c>
      <c r="C94" s="65">
        <v>15392</v>
      </c>
      <c r="D94" s="65" t="s">
        <v>24</v>
      </c>
      <c r="E94" s="65">
        <v>3</v>
      </c>
      <c r="F94" s="65" t="s">
        <v>200</v>
      </c>
      <c r="G94" s="56">
        <v>0</v>
      </c>
      <c r="H94" s="66">
        <v>1</v>
      </c>
      <c r="I94" s="66">
        <v>1</v>
      </c>
      <c r="J94" s="66">
        <v>1</v>
      </c>
      <c r="K94" s="56">
        <v>0</v>
      </c>
      <c r="L94" s="56">
        <v>4</v>
      </c>
      <c r="M94" s="66">
        <v>1</v>
      </c>
      <c r="N94" s="66">
        <v>1</v>
      </c>
      <c r="O94" s="66">
        <v>1</v>
      </c>
      <c r="P94" s="66">
        <v>0</v>
      </c>
      <c r="Q94" s="66">
        <v>1</v>
      </c>
      <c r="R94" s="66">
        <v>0</v>
      </c>
      <c r="S94" s="66">
        <v>0</v>
      </c>
      <c r="T94" s="67"/>
      <c r="U94" s="67"/>
      <c r="V94" s="67">
        <v>12770</v>
      </c>
      <c r="W94" s="67"/>
      <c r="X94" s="67"/>
      <c r="Y94" s="67"/>
      <c r="Z94" s="69">
        <f t="shared" si="14"/>
        <v>3192.5</v>
      </c>
      <c r="AA94" s="69">
        <f t="shared" si="15"/>
        <v>957.75</v>
      </c>
      <c r="AB94" s="69">
        <f t="shared" si="16"/>
        <v>0</v>
      </c>
      <c r="AC94" s="69">
        <f t="shared" si="17"/>
        <v>0</v>
      </c>
      <c r="AD94" s="69">
        <f t="shared" si="18"/>
        <v>0</v>
      </c>
      <c r="AE94" s="69">
        <f t="shared" si="19"/>
        <v>957.75</v>
      </c>
      <c r="AF94" s="98">
        <f t="shared" si="20"/>
        <v>1277</v>
      </c>
      <c r="AG94" s="70">
        <v>22.5</v>
      </c>
      <c r="AH94" s="112" t="s">
        <v>90</v>
      </c>
      <c r="AI94" s="77"/>
      <c r="AJ94" s="23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</row>
    <row r="95" spans="2:94" s="39" customFormat="1" ht="19.5" thickBot="1" thickTop="1">
      <c r="B95" s="56">
        <v>91</v>
      </c>
      <c r="C95" s="72">
        <v>15316</v>
      </c>
      <c r="D95" s="72" t="s">
        <v>24</v>
      </c>
      <c r="E95" s="72">
        <v>3</v>
      </c>
      <c r="F95" s="72" t="s">
        <v>224</v>
      </c>
      <c r="G95" s="56">
        <v>0</v>
      </c>
      <c r="H95" s="56">
        <v>1</v>
      </c>
      <c r="I95" s="56">
        <v>0</v>
      </c>
      <c r="J95" s="56">
        <v>1</v>
      </c>
      <c r="K95" s="56">
        <v>0</v>
      </c>
      <c r="L95" s="56">
        <v>4</v>
      </c>
      <c r="M95" s="56">
        <v>1</v>
      </c>
      <c r="N95" s="56">
        <v>1</v>
      </c>
      <c r="O95" s="56">
        <v>0</v>
      </c>
      <c r="P95" s="56">
        <v>0</v>
      </c>
      <c r="Q95" s="56">
        <v>0</v>
      </c>
      <c r="R95" s="56">
        <v>0</v>
      </c>
      <c r="S95" s="56">
        <v>0</v>
      </c>
      <c r="T95" s="74">
        <v>18579.1</v>
      </c>
      <c r="U95" s="74"/>
      <c r="V95" s="74">
        <v>4500</v>
      </c>
      <c r="W95" s="74"/>
      <c r="X95" s="74"/>
      <c r="Y95" s="74"/>
      <c r="Z95" s="69">
        <f t="shared" si="14"/>
        <v>3447.3875</v>
      </c>
      <c r="AA95" s="69">
        <f t="shared" si="15"/>
        <v>0</v>
      </c>
      <c r="AB95" s="69">
        <f t="shared" si="16"/>
        <v>0</v>
      </c>
      <c r="AC95" s="69">
        <f t="shared" si="17"/>
        <v>0</v>
      </c>
      <c r="AD95" s="69">
        <f t="shared" si="18"/>
        <v>0</v>
      </c>
      <c r="AE95" s="69">
        <f t="shared" si="19"/>
        <v>0</v>
      </c>
      <c r="AF95" s="98">
        <f t="shared" si="20"/>
        <v>3447.3875</v>
      </c>
      <c r="AG95" s="70">
        <v>22</v>
      </c>
      <c r="AH95" s="112" t="s">
        <v>102</v>
      </c>
      <c r="AI95" s="86"/>
      <c r="AJ95" s="49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</row>
    <row r="96" spans="2:94" s="39" customFormat="1" ht="19.5" thickBot="1" thickTop="1">
      <c r="B96" s="56">
        <v>92</v>
      </c>
      <c r="C96" s="72">
        <v>15158</v>
      </c>
      <c r="D96" s="72" t="s">
        <v>24</v>
      </c>
      <c r="E96" s="72">
        <v>5</v>
      </c>
      <c r="F96" s="72" t="s">
        <v>237</v>
      </c>
      <c r="G96" s="56">
        <v>0</v>
      </c>
      <c r="H96" s="56">
        <v>1</v>
      </c>
      <c r="I96" s="56">
        <v>0</v>
      </c>
      <c r="J96" s="56">
        <v>1</v>
      </c>
      <c r="K96" s="56">
        <v>0</v>
      </c>
      <c r="L96" s="56">
        <v>3</v>
      </c>
      <c r="M96" s="56">
        <v>1</v>
      </c>
      <c r="N96" s="56">
        <v>1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74">
        <f>21882.7+600</f>
        <v>22482.7</v>
      </c>
      <c r="U96" s="74"/>
      <c r="V96" s="74">
        <f>21882.7+4320-T96</f>
        <v>3720</v>
      </c>
      <c r="W96" s="74"/>
      <c r="X96" s="74"/>
      <c r="Y96" s="74"/>
      <c r="Z96" s="69">
        <f t="shared" si="14"/>
        <v>4987.116666666667</v>
      </c>
      <c r="AA96" s="69">
        <f t="shared" si="15"/>
        <v>0</v>
      </c>
      <c r="AB96" s="69">
        <f t="shared" si="16"/>
        <v>0</v>
      </c>
      <c r="AC96" s="69">
        <f t="shared" si="17"/>
        <v>0</v>
      </c>
      <c r="AD96" s="69">
        <f t="shared" si="18"/>
        <v>0</v>
      </c>
      <c r="AE96" s="69">
        <f t="shared" si="19"/>
        <v>0</v>
      </c>
      <c r="AF96" s="98">
        <f t="shared" si="20"/>
        <v>4987.116666666667</v>
      </c>
      <c r="AG96" s="70">
        <v>22</v>
      </c>
      <c r="AH96" s="123" t="s">
        <v>97</v>
      </c>
      <c r="AI96" s="124"/>
      <c r="AJ96" s="49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</row>
    <row r="97" spans="2:94" s="39" customFormat="1" ht="19.5" thickBot="1" thickTop="1">
      <c r="B97" s="56">
        <v>93</v>
      </c>
      <c r="C97" s="72">
        <v>15035</v>
      </c>
      <c r="D97" s="72" t="s">
        <v>24</v>
      </c>
      <c r="E97" s="72">
        <v>7</v>
      </c>
      <c r="F97" s="72" t="s">
        <v>181</v>
      </c>
      <c r="G97" s="56">
        <v>0</v>
      </c>
      <c r="H97" s="56">
        <v>1</v>
      </c>
      <c r="I97" s="56">
        <v>1</v>
      </c>
      <c r="J97" s="56">
        <v>1</v>
      </c>
      <c r="K97" s="56">
        <v>0</v>
      </c>
      <c r="L97" s="56">
        <v>4</v>
      </c>
      <c r="M97" s="56">
        <v>1</v>
      </c>
      <c r="N97" s="56">
        <v>1</v>
      </c>
      <c r="O97" s="56">
        <v>0</v>
      </c>
      <c r="P97" s="56">
        <v>0</v>
      </c>
      <c r="Q97" s="56">
        <v>0</v>
      </c>
      <c r="R97" s="56">
        <v>0</v>
      </c>
      <c r="S97" s="56">
        <v>0</v>
      </c>
      <c r="T97" s="74"/>
      <c r="U97" s="74"/>
      <c r="V97" s="74">
        <f>11530+17674.84</f>
        <v>29204.84</v>
      </c>
      <c r="W97" s="67"/>
      <c r="X97" s="67"/>
      <c r="Y97" s="67"/>
      <c r="Z97" s="69">
        <f t="shared" si="14"/>
        <v>7301.21</v>
      </c>
      <c r="AA97" s="69">
        <f t="shared" si="15"/>
        <v>0</v>
      </c>
      <c r="AB97" s="69">
        <f t="shared" si="16"/>
        <v>0</v>
      </c>
      <c r="AC97" s="69">
        <f t="shared" si="17"/>
        <v>0</v>
      </c>
      <c r="AD97" s="69">
        <f t="shared" si="18"/>
        <v>0</v>
      </c>
      <c r="AE97" s="69">
        <f t="shared" si="19"/>
        <v>2190.363</v>
      </c>
      <c r="AF97" s="98">
        <f t="shared" si="20"/>
        <v>5110.847</v>
      </c>
      <c r="AG97" s="75">
        <v>21.5</v>
      </c>
      <c r="AH97" s="145" t="s">
        <v>22</v>
      </c>
      <c r="AI97" s="71"/>
      <c r="AJ97" s="49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</row>
    <row r="98" spans="2:94" s="25" customFormat="1" ht="19.5" thickBot="1" thickTop="1">
      <c r="B98" s="56">
        <v>94</v>
      </c>
      <c r="C98" s="65">
        <v>15381</v>
      </c>
      <c r="D98" s="65" t="s">
        <v>24</v>
      </c>
      <c r="E98" s="65">
        <v>3</v>
      </c>
      <c r="F98" s="65" t="s">
        <v>195</v>
      </c>
      <c r="G98" s="56">
        <v>0</v>
      </c>
      <c r="H98" s="66">
        <v>1</v>
      </c>
      <c r="I98" s="66">
        <v>0</v>
      </c>
      <c r="J98" s="66">
        <v>1</v>
      </c>
      <c r="K98" s="56">
        <v>0</v>
      </c>
      <c r="L98" s="56">
        <v>5</v>
      </c>
      <c r="M98" s="66">
        <v>1</v>
      </c>
      <c r="N98" s="66">
        <v>1</v>
      </c>
      <c r="O98" s="66">
        <v>0</v>
      </c>
      <c r="P98" s="66">
        <v>0</v>
      </c>
      <c r="Q98" s="66">
        <v>1</v>
      </c>
      <c r="R98" s="66">
        <v>0</v>
      </c>
      <c r="S98" s="66">
        <v>0</v>
      </c>
      <c r="T98" s="67">
        <v>1398.47</v>
      </c>
      <c r="U98" s="67"/>
      <c r="V98" s="67">
        <f>5660-T98</f>
        <v>4261.53</v>
      </c>
      <c r="W98" s="67"/>
      <c r="X98" s="67"/>
      <c r="Y98" s="67"/>
      <c r="Z98" s="69">
        <f t="shared" si="14"/>
        <v>992.1529999999999</v>
      </c>
      <c r="AA98" s="69">
        <f t="shared" si="15"/>
        <v>0</v>
      </c>
      <c r="AB98" s="69">
        <f t="shared" si="16"/>
        <v>0</v>
      </c>
      <c r="AC98" s="69">
        <f t="shared" si="17"/>
        <v>0</v>
      </c>
      <c r="AD98" s="69">
        <f t="shared" si="18"/>
        <v>0</v>
      </c>
      <c r="AE98" s="69">
        <f t="shared" si="19"/>
        <v>0</v>
      </c>
      <c r="AF98" s="98">
        <f t="shared" si="20"/>
        <v>992.1529999999999</v>
      </c>
      <c r="AG98" s="70">
        <v>21.5</v>
      </c>
      <c r="AH98" s="112" t="s">
        <v>23</v>
      </c>
      <c r="AI98" s="82"/>
      <c r="AJ98" s="23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</row>
    <row r="99" spans="2:94" s="25" customFormat="1" ht="19.5" thickBot="1" thickTop="1">
      <c r="B99" s="56">
        <v>95</v>
      </c>
      <c r="C99" s="65">
        <v>15110</v>
      </c>
      <c r="D99" s="65" t="s">
        <v>24</v>
      </c>
      <c r="E99" s="65">
        <v>7</v>
      </c>
      <c r="F99" s="65" t="s">
        <v>186</v>
      </c>
      <c r="G99" s="66">
        <v>0</v>
      </c>
      <c r="H99" s="66">
        <v>1</v>
      </c>
      <c r="I99" s="56">
        <v>0</v>
      </c>
      <c r="J99" s="66">
        <v>1</v>
      </c>
      <c r="K99" s="56">
        <v>0</v>
      </c>
      <c r="L99" s="56">
        <v>4</v>
      </c>
      <c r="M99" s="56">
        <v>1</v>
      </c>
      <c r="N99" s="66">
        <v>1</v>
      </c>
      <c r="O99" s="66">
        <v>0</v>
      </c>
      <c r="P99" s="66">
        <v>0</v>
      </c>
      <c r="Q99" s="66">
        <v>1</v>
      </c>
      <c r="R99" s="66">
        <v>0</v>
      </c>
      <c r="S99" s="56">
        <v>0</v>
      </c>
      <c r="T99" s="74">
        <v>12424.44</v>
      </c>
      <c r="U99" s="74"/>
      <c r="V99" s="74">
        <f>12425.33-T99</f>
        <v>0.8899999999994179</v>
      </c>
      <c r="W99" s="74"/>
      <c r="X99" s="74"/>
      <c r="Y99" s="74"/>
      <c r="Z99" s="69">
        <f t="shared" si="14"/>
        <v>1553.2775</v>
      </c>
      <c r="AA99" s="69">
        <f t="shared" si="15"/>
        <v>0</v>
      </c>
      <c r="AB99" s="69">
        <f t="shared" si="16"/>
        <v>0</v>
      </c>
      <c r="AC99" s="69">
        <f t="shared" si="17"/>
        <v>0</v>
      </c>
      <c r="AD99" s="69">
        <f t="shared" si="18"/>
        <v>0</v>
      </c>
      <c r="AE99" s="69">
        <f t="shared" si="19"/>
        <v>0</v>
      </c>
      <c r="AF99" s="98">
        <f t="shared" si="20"/>
        <v>1553.2775</v>
      </c>
      <c r="AG99" s="75">
        <v>21</v>
      </c>
      <c r="AH99" s="100" t="s">
        <v>32</v>
      </c>
      <c r="AI99" s="71"/>
      <c r="AJ99" s="23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</row>
    <row r="100" spans="2:94" s="25" customFormat="1" ht="19.5" thickBot="1" thickTop="1">
      <c r="B100" s="56">
        <v>96</v>
      </c>
      <c r="C100" s="72">
        <v>13893</v>
      </c>
      <c r="D100" s="72" t="s">
        <v>24</v>
      </c>
      <c r="E100" s="72">
        <v>9</v>
      </c>
      <c r="F100" s="72" t="s">
        <v>238</v>
      </c>
      <c r="G100" s="56">
        <v>0</v>
      </c>
      <c r="H100" s="56">
        <v>1</v>
      </c>
      <c r="I100" s="56">
        <v>0</v>
      </c>
      <c r="J100" s="56">
        <v>1</v>
      </c>
      <c r="K100" s="56">
        <v>0</v>
      </c>
      <c r="L100" s="56">
        <v>3</v>
      </c>
      <c r="M100" s="56">
        <v>1</v>
      </c>
      <c r="N100" s="56">
        <v>1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74">
        <v>17847.18</v>
      </c>
      <c r="U100" s="74"/>
      <c r="V100" s="74">
        <f>17847.57+5170-T100</f>
        <v>5170.389999999999</v>
      </c>
      <c r="W100" s="74"/>
      <c r="X100" s="74"/>
      <c r="Y100" s="74"/>
      <c r="Z100" s="69">
        <f t="shared" si="14"/>
        <v>4697.993333333333</v>
      </c>
      <c r="AA100" s="69">
        <f t="shared" si="15"/>
        <v>0</v>
      </c>
      <c r="AB100" s="69">
        <f t="shared" si="16"/>
        <v>0</v>
      </c>
      <c r="AC100" s="69">
        <f t="shared" si="17"/>
        <v>0</v>
      </c>
      <c r="AD100" s="69">
        <f t="shared" si="18"/>
        <v>0</v>
      </c>
      <c r="AE100" s="69">
        <f t="shared" si="19"/>
        <v>0</v>
      </c>
      <c r="AF100" s="98">
        <f t="shared" si="20"/>
        <v>4697.993333333333</v>
      </c>
      <c r="AG100" s="70">
        <v>20.5</v>
      </c>
      <c r="AH100" s="123" t="s">
        <v>240</v>
      </c>
      <c r="AI100" s="84"/>
      <c r="AJ100" s="23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</row>
    <row r="101" spans="2:94" s="39" customFormat="1" ht="19.5" thickBot="1" thickTop="1">
      <c r="B101" s="56">
        <v>97</v>
      </c>
      <c r="C101" s="65">
        <v>15202</v>
      </c>
      <c r="D101" s="65" t="s">
        <v>24</v>
      </c>
      <c r="E101" s="65">
        <v>5</v>
      </c>
      <c r="F101" s="65" t="s">
        <v>169</v>
      </c>
      <c r="G101" s="66">
        <v>0</v>
      </c>
      <c r="H101" s="66">
        <v>1</v>
      </c>
      <c r="I101" s="56">
        <v>1</v>
      </c>
      <c r="J101" s="66">
        <v>1</v>
      </c>
      <c r="K101" s="56">
        <v>0</v>
      </c>
      <c r="L101" s="56">
        <v>4</v>
      </c>
      <c r="M101" s="56">
        <v>1</v>
      </c>
      <c r="N101" s="66">
        <v>1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74">
        <v>3103.59</v>
      </c>
      <c r="U101" s="74"/>
      <c r="V101" s="74">
        <f>8880+3500</f>
        <v>12380</v>
      </c>
      <c r="W101" s="74"/>
      <c r="X101" s="74"/>
      <c r="Y101" s="74"/>
      <c r="Z101" s="69">
        <f t="shared" si="14"/>
        <v>3482.94875</v>
      </c>
      <c r="AA101" s="69">
        <f>IF(O101=1,Z101*30%,0)</f>
        <v>0</v>
      </c>
      <c r="AB101" s="69">
        <f t="shared" si="16"/>
        <v>0</v>
      </c>
      <c r="AC101" s="69">
        <f t="shared" si="17"/>
        <v>0</v>
      </c>
      <c r="AD101" s="69">
        <f t="shared" si="18"/>
        <v>0</v>
      </c>
      <c r="AE101" s="69">
        <f t="shared" si="19"/>
        <v>1044.884625</v>
      </c>
      <c r="AF101" s="98">
        <f>Z101-AA101-AB101-AC101-AD101-AE101</f>
        <v>2438.064125</v>
      </c>
      <c r="AG101" s="79">
        <v>20</v>
      </c>
      <c r="AH101" s="112" t="s">
        <v>40</v>
      </c>
      <c r="AI101" s="146"/>
      <c r="AJ101" s="49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</row>
    <row r="102" ht="18.75" thickTop="1"/>
    <row r="103" s="159" customFormat="1" ht="18" customHeight="1">
      <c r="A103" s="159" t="s">
        <v>252</v>
      </c>
    </row>
    <row r="104" s="159" customFormat="1" ht="18.75" customHeight="1" thickBot="1"/>
    <row r="105" spans="1:94" s="39" customFormat="1" ht="33" thickBot="1" thickTop="1">
      <c r="A105" s="34">
        <v>129</v>
      </c>
      <c r="B105" s="56">
        <v>1</v>
      </c>
      <c r="C105" s="48">
        <v>15273</v>
      </c>
      <c r="D105" s="48" t="s">
        <v>24</v>
      </c>
      <c r="E105" s="72">
        <v>5</v>
      </c>
      <c r="F105" s="72" t="s">
        <v>114</v>
      </c>
      <c r="G105" s="56">
        <v>0</v>
      </c>
      <c r="H105" s="56">
        <v>1</v>
      </c>
      <c r="I105" s="56">
        <v>1</v>
      </c>
      <c r="J105" s="56">
        <v>1</v>
      </c>
      <c r="K105" s="56">
        <v>0</v>
      </c>
      <c r="L105" s="56">
        <v>3</v>
      </c>
      <c r="M105" s="56">
        <v>1</v>
      </c>
      <c r="N105" s="56">
        <v>1</v>
      </c>
      <c r="O105" s="56">
        <v>0</v>
      </c>
      <c r="P105" s="56">
        <v>0</v>
      </c>
      <c r="Q105" s="56">
        <v>1</v>
      </c>
      <c r="R105" s="56">
        <v>0</v>
      </c>
      <c r="S105" s="56">
        <v>0</v>
      </c>
      <c r="T105" s="74">
        <v>11119.61</v>
      </c>
      <c r="U105" s="74"/>
      <c r="V105" s="74">
        <v>4500</v>
      </c>
      <c r="W105" s="74"/>
      <c r="X105" s="74"/>
      <c r="Y105" s="74"/>
      <c r="Z105" s="69">
        <f aca="true" t="shared" si="21" ref="Z105:Z138">((T105*50%+U105*85%+V105)/L105)+W105</f>
        <v>3353.2683333333334</v>
      </c>
      <c r="AA105" s="69">
        <f aca="true" t="shared" si="22" ref="AA105:AA138">IF(O105=1,Z105*30%,0)</f>
        <v>0</v>
      </c>
      <c r="AB105" s="69">
        <f aca="true" t="shared" si="23" ref="AB105:AB138">IF(K105=1,Z105*20%,0)</f>
        <v>0</v>
      </c>
      <c r="AC105" s="69">
        <f aca="true" t="shared" si="24" ref="AC105:AC138">IF(R105=1,Z105*10%,0)</f>
        <v>0</v>
      </c>
      <c r="AD105" s="69">
        <f aca="true" t="shared" si="25" ref="AD105:AD138">IF(S105=1,Z105*30%,0)</f>
        <v>0</v>
      </c>
      <c r="AE105" s="69">
        <f aca="true" t="shared" si="26" ref="AE105:AE138">IF(I105=1,Z105*30%,0)</f>
        <v>1005.9805</v>
      </c>
      <c r="AF105" s="69">
        <f aca="true" t="shared" si="27" ref="AF105:AF138">Z105-AA105-AB105-AC105-AD105-AE105</f>
        <v>2347.2878333333333</v>
      </c>
      <c r="AG105" s="36">
        <v>0</v>
      </c>
      <c r="AH105" s="71" t="s">
        <v>74</v>
      </c>
      <c r="AI105" s="78" t="s">
        <v>253</v>
      </c>
      <c r="AJ105" s="37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</row>
    <row r="106" spans="1:94" s="39" customFormat="1" ht="22.5" customHeight="1" thickBot="1" thickTop="1">
      <c r="A106" s="34">
        <v>203</v>
      </c>
      <c r="B106" s="56">
        <v>2</v>
      </c>
      <c r="C106" s="18" t="s">
        <v>46</v>
      </c>
      <c r="D106" s="18" t="s">
        <v>24</v>
      </c>
      <c r="E106" s="65">
        <v>9</v>
      </c>
      <c r="F106" s="65" t="s">
        <v>145</v>
      </c>
      <c r="G106" s="89">
        <v>0</v>
      </c>
      <c r="H106" s="90">
        <v>1</v>
      </c>
      <c r="I106" s="90">
        <v>0</v>
      </c>
      <c r="J106" s="90">
        <v>1</v>
      </c>
      <c r="K106" s="89">
        <v>0</v>
      </c>
      <c r="L106" s="89">
        <v>3</v>
      </c>
      <c r="M106" s="90">
        <v>1</v>
      </c>
      <c r="N106" s="90">
        <v>1</v>
      </c>
      <c r="O106" s="90">
        <v>0</v>
      </c>
      <c r="P106" s="90">
        <v>0</v>
      </c>
      <c r="Q106" s="90">
        <v>0</v>
      </c>
      <c r="R106" s="90">
        <v>0</v>
      </c>
      <c r="S106" s="90">
        <v>0</v>
      </c>
      <c r="T106" s="91">
        <f>6506.64+3429.42</f>
        <v>9936.060000000001</v>
      </c>
      <c r="U106" s="91"/>
      <c r="V106" s="91">
        <f>11320+3429.42-T106</f>
        <v>4813.359999999999</v>
      </c>
      <c r="W106" s="91"/>
      <c r="X106" s="68"/>
      <c r="Y106" s="68"/>
      <c r="Z106" s="92">
        <f t="shared" si="21"/>
        <v>3260.463333333333</v>
      </c>
      <c r="AA106" s="92">
        <f t="shared" si="22"/>
        <v>0</v>
      </c>
      <c r="AB106" s="92">
        <f t="shared" si="23"/>
        <v>0</v>
      </c>
      <c r="AC106" s="92">
        <f t="shared" si="24"/>
        <v>0</v>
      </c>
      <c r="AD106" s="92">
        <f t="shared" si="25"/>
        <v>0</v>
      </c>
      <c r="AE106" s="92">
        <f t="shared" si="26"/>
        <v>0</v>
      </c>
      <c r="AF106" s="92">
        <f t="shared" si="27"/>
        <v>3260.463333333333</v>
      </c>
      <c r="AG106" s="45">
        <v>0</v>
      </c>
      <c r="AH106" s="118" t="s">
        <v>36</v>
      </c>
      <c r="AI106" s="78" t="s">
        <v>253</v>
      </c>
      <c r="AJ106" s="46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</row>
    <row r="107" spans="1:94" s="25" customFormat="1" ht="22.5" customHeight="1" thickBot="1" thickTop="1">
      <c r="A107" s="27"/>
      <c r="B107" s="56">
        <v>3</v>
      </c>
      <c r="C107" s="18">
        <v>2098</v>
      </c>
      <c r="D107" s="18" t="s">
        <v>20</v>
      </c>
      <c r="E107" s="65">
        <v>9</v>
      </c>
      <c r="F107" s="65" t="s">
        <v>116</v>
      </c>
      <c r="G107" s="56">
        <v>0</v>
      </c>
      <c r="H107" s="66">
        <v>1</v>
      </c>
      <c r="I107" s="66">
        <v>1</v>
      </c>
      <c r="J107" s="66">
        <v>1</v>
      </c>
      <c r="K107" s="56">
        <v>0</v>
      </c>
      <c r="L107" s="56">
        <v>4</v>
      </c>
      <c r="M107" s="66">
        <v>1</v>
      </c>
      <c r="N107" s="66">
        <v>1</v>
      </c>
      <c r="O107" s="66">
        <v>0</v>
      </c>
      <c r="P107" s="66">
        <v>0</v>
      </c>
      <c r="Q107" s="66">
        <v>1</v>
      </c>
      <c r="R107" s="66">
        <v>0</v>
      </c>
      <c r="S107" s="66">
        <v>0</v>
      </c>
      <c r="T107" s="67"/>
      <c r="U107" s="67"/>
      <c r="V107" s="67">
        <v>10164</v>
      </c>
      <c r="W107" s="67"/>
      <c r="X107" s="67"/>
      <c r="Y107" s="67"/>
      <c r="Z107" s="69">
        <f t="shared" si="21"/>
        <v>2541</v>
      </c>
      <c r="AA107" s="69">
        <f t="shared" si="22"/>
        <v>0</v>
      </c>
      <c r="AB107" s="69">
        <f t="shared" si="23"/>
        <v>0</v>
      </c>
      <c r="AC107" s="69">
        <f t="shared" si="24"/>
        <v>0</v>
      </c>
      <c r="AD107" s="69">
        <f t="shared" si="25"/>
        <v>0</v>
      </c>
      <c r="AE107" s="69">
        <f t="shared" si="26"/>
        <v>762.3</v>
      </c>
      <c r="AF107" s="69">
        <f t="shared" si="27"/>
        <v>1778.7</v>
      </c>
      <c r="AG107" s="36">
        <v>0</v>
      </c>
      <c r="AH107" s="80" t="s">
        <v>23</v>
      </c>
      <c r="AI107" s="78" t="s">
        <v>253</v>
      </c>
      <c r="AJ107" s="30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</row>
    <row r="108" spans="1:93" s="25" customFormat="1" ht="19.5" thickBot="1" thickTop="1">
      <c r="A108" s="29"/>
      <c r="B108" s="56">
        <v>4</v>
      </c>
      <c r="C108" s="18">
        <v>15300</v>
      </c>
      <c r="D108" s="18" t="s">
        <v>24</v>
      </c>
      <c r="E108" s="65">
        <v>3</v>
      </c>
      <c r="F108" s="65" t="s">
        <v>196</v>
      </c>
      <c r="G108" s="66">
        <v>0</v>
      </c>
      <c r="H108" s="66">
        <v>1</v>
      </c>
      <c r="I108" s="66">
        <v>1</v>
      </c>
      <c r="J108" s="66">
        <v>1</v>
      </c>
      <c r="K108" s="56">
        <v>0</v>
      </c>
      <c r="L108" s="56">
        <v>4</v>
      </c>
      <c r="M108" s="56">
        <v>1</v>
      </c>
      <c r="N108" s="66">
        <v>1</v>
      </c>
      <c r="O108" s="66">
        <v>1</v>
      </c>
      <c r="P108" s="66">
        <v>0</v>
      </c>
      <c r="Q108" s="66">
        <v>1</v>
      </c>
      <c r="R108" s="66">
        <v>0</v>
      </c>
      <c r="S108" s="56">
        <v>0</v>
      </c>
      <c r="T108" s="74">
        <f>3112.78+280.8</f>
        <v>3393.5800000000004</v>
      </c>
      <c r="U108" s="74">
        <v>33.12</v>
      </c>
      <c r="V108" s="74">
        <f>3800+2500-T108-U108</f>
        <v>2873.2999999999997</v>
      </c>
      <c r="W108" s="74"/>
      <c r="X108" s="76"/>
      <c r="Y108" s="76"/>
      <c r="Z108" s="69">
        <f t="shared" si="21"/>
        <v>1149.5605</v>
      </c>
      <c r="AA108" s="69">
        <f t="shared" si="22"/>
        <v>344.86815</v>
      </c>
      <c r="AB108" s="69">
        <f t="shared" si="23"/>
        <v>0</v>
      </c>
      <c r="AC108" s="69">
        <f t="shared" si="24"/>
        <v>0</v>
      </c>
      <c r="AD108" s="69">
        <f t="shared" si="25"/>
        <v>0</v>
      </c>
      <c r="AE108" s="69">
        <f t="shared" si="26"/>
        <v>344.86815</v>
      </c>
      <c r="AF108" s="69">
        <f t="shared" si="27"/>
        <v>459.8242</v>
      </c>
      <c r="AG108" s="45">
        <v>0</v>
      </c>
      <c r="AH108" s="147" t="s">
        <v>35</v>
      </c>
      <c r="AI108" s="78" t="s">
        <v>253</v>
      </c>
      <c r="AJ108" s="19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</row>
    <row r="109" spans="1:93" s="39" customFormat="1" ht="19.5" thickBot="1" thickTop="1">
      <c r="A109" s="55"/>
      <c r="B109" s="56">
        <v>5</v>
      </c>
      <c r="C109" s="48">
        <v>15301</v>
      </c>
      <c r="D109" s="48" t="s">
        <v>24</v>
      </c>
      <c r="E109" s="72">
        <v>1</v>
      </c>
      <c r="F109" s="72" t="s">
        <v>232</v>
      </c>
      <c r="G109" s="56">
        <v>0</v>
      </c>
      <c r="H109" s="56">
        <v>1</v>
      </c>
      <c r="I109" s="56">
        <v>0</v>
      </c>
      <c r="J109" s="56">
        <v>1</v>
      </c>
      <c r="K109" s="56">
        <v>0</v>
      </c>
      <c r="L109" s="56">
        <v>4</v>
      </c>
      <c r="M109" s="56">
        <v>1</v>
      </c>
      <c r="N109" s="56">
        <v>1</v>
      </c>
      <c r="O109" s="56">
        <v>0</v>
      </c>
      <c r="P109" s="56">
        <v>0</v>
      </c>
      <c r="Q109" s="56">
        <v>0</v>
      </c>
      <c r="R109" s="56">
        <v>0</v>
      </c>
      <c r="S109" s="56">
        <v>0</v>
      </c>
      <c r="T109" s="74"/>
      <c r="U109" s="74">
        <v>3198.39</v>
      </c>
      <c r="V109" s="74">
        <f>8073.02+2500-U109</f>
        <v>7374.630000000001</v>
      </c>
      <c r="W109" s="74"/>
      <c r="X109" s="74"/>
      <c r="Y109" s="74"/>
      <c r="Z109" s="69">
        <f t="shared" si="21"/>
        <v>2523.315375</v>
      </c>
      <c r="AA109" s="69">
        <f t="shared" si="22"/>
        <v>0</v>
      </c>
      <c r="AB109" s="69">
        <f t="shared" si="23"/>
        <v>0</v>
      </c>
      <c r="AC109" s="69">
        <f t="shared" si="24"/>
        <v>0</v>
      </c>
      <c r="AD109" s="69">
        <f t="shared" si="25"/>
        <v>0</v>
      </c>
      <c r="AE109" s="69">
        <f t="shared" si="26"/>
        <v>0</v>
      </c>
      <c r="AF109" s="69">
        <f t="shared" si="27"/>
        <v>2523.315375</v>
      </c>
      <c r="AG109" s="45"/>
      <c r="AH109" s="60" t="s">
        <v>233</v>
      </c>
      <c r="AI109" s="78" t="s">
        <v>257</v>
      </c>
      <c r="AJ109" s="37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</row>
    <row r="110" spans="2:94" s="51" customFormat="1" ht="19.5" thickBot="1" thickTop="1">
      <c r="B110" s="56">
        <v>6</v>
      </c>
      <c r="C110" s="18">
        <v>15105</v>
      </c>
      <c r="D110" s="18" t="s">
        <v>24</v>
      </c>
      <c r="E110" s="65">
        <v>7</v>
      </c>
      <c r="F110" s="65" t="s">
        <v>122</v>
      </c>
      <c r="G110" s="66">
        <v>0</v>
      </c>
      <c r="H110" s="66">
        <v>1</v>
      </c>
      <c r="I110" s="56">
        <v>0</v>
      </c>
      <c r="J110" s="66">
        <v>1</v>
      </c>
      <c r="K110" s="56">
        <v>0</v>
      </c>
      <c r="L110" s="56">
        <v>4</v>
      </c>
      <c r="M110" s="56">
        <v>1</v>
      </c>
      <c r="N110" s="66">
        <v>1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74">
        <f>2583.65+2718.54+1637.19</f>
        <v>6939.380000000001</v>
      </c>
      <c r="U110" s="74"/>
      <c r="V110" s="74">
        <f>5302.34+2500+3000-T110</f>
        <v>3862.959999999999</v>
      </c>
      <c r="W110" s="74"/>
      <c r="X110" s="76"/>
      <c r="Y110" s="76"/>
      <c r="Z110" s="69">
        <f t="shared" si="21"/>
        <v>1833.1625</v>
      </c>
      <c r="AA110" s="69">
        <f t="shared" si="22"/>
        <v>0</v>
      </c>
      <c r="AB110" s="69">
        <f t="shared" si="23"/>
        <v>0</v>
      </c>
      <c r="AC110" s="69">
        <f t="shared" si="24"/>
        <v>0</v>
      </c>
      <c r="AD110" s="69">
        <f t="shared" si="25"/>
        <v>0</v>
      </c>
      <c r="AE110" s="69">
        <f t="shared" si="26"/>
        <v>0</v>
      </c>
      <c r="AF110" s="69">
        <f t="shared" si="27"/>
        <v>1833.1625</v>
      </c>
      <c r="AG110" s="45">
        <v>2</v>
      </c>
      <c r="AH110" s="80" t="s">
        <v>48</v>
      </c>
      <c r="AI110" s="78" t="s">
        <v>253</v>
      </c>
      <c r="AJ110" s="57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</row>
    <row r="111" spans="1:93" s="25" customFormat="1" ht="19.5" thickBot="1" thickTop="1">
      <c r="A111" s="27">
        <v>131</v>
      </c>
      <c r="B111" s="56">
        <v>7</v>
      </c>
      <c r="C111" s="50">
        <v>13922</v>
      </c>
      <c r="D111" s="50" t="s">
        <v>24</v>
      </c>
      <c r="E111" s="95">
        <v>9</v>
      </c>
      <c r="F111" s="95" t="s">
        <v>123</v>
      </c>
      <c r="G111" s="89">
        <v>0</v>
      </c>
      <c r="H111" s="89">
        <v>1</v>
      </c>
      <c r="I111" s="89">
        <v>1</v>
      </c>
      <c r="J111" s="89">
        <v>1</v>
      </c>
      <c r="K111" s="89">
        <v>0</v>
      </c>
      <c r="L111" s="89">
        <v>4</v>
      </c>
      <c r="M111" s="89">
        <v>1</v>
      </c>
      <c r="N111" s="89">
        <v>1</v>
      </c>
      <c r="O111" s="89">
        <v>0</v>
      </c>
      <c r="P111" s="89">
        <v>0</v>
      </c>
      <c r="Q111" s="89">
        <v>1</v>
      </c>
      <c r="R111" s="89">
        <v>1</v>
      </c>
      <c r="S111" s="89">
        <v>0</v>
      </c>
      <c r="T111" s="96">
        <v>1648.82</v>
      </c>
      <c r="U111" s="96"/>
      <c r="V111" s="96">
        <f>5973.34+3000-T111</f>
        <v>7324.52</v>
      </c>
      <c r="W111" s="96"/>
      <c r="X111" s="76"/>
      <c r="Y111" s="76"/>
      <c r="Z111" s="92">
        <f t="shared" si="21"/>
        <v>2037.2325</v>
      </c>
      <c r="AA111" s="92">
        <f t="shared" si="22"/>
        <v>0</v>
      </c>
      <c r="AB111" s="92">
        <f t="shared" si="23"/>
        <v>0</v>
      </c>
      <c r="AC111" s="92">
        <f t="shared" si="24"/>
        <v>203.72325</v>
      </c>
      <c r="AD111" s="92">
        <f t="shared" si="25"/>
        <v>0</v>
      </c>
      <c r="AE111" s="92">
        <f t="shared" si="26"/>
        <v>611.16975</v>
      </c>
      <c r="AF111" s="92">
        <f t="shared" si="27"/>
        <v>1222.3395</v>
      </c>
      <c r="AG111" s="45">
        <v>2.5</v>
      </c>
      <c r="AH111" s="121" t="s">
        <v>23</v>
      </c>
      <c r="AI111" s="78" t="s">
        <v>253</v>
      </c>
      <c r="AJ111" s="19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</row>
    <row r="112" spans="2:94" s="51" customFormat="1" ht="19.5" thickBot="1" thickTop="1">
      <c r="B112" s="56">
        <v>8</v>
      </c>
      <c r="C112" s="48">
        <v>15192</v>
      </c>
      <c r="D112" s="61" t="s">
        <v>24</v>
      </c>
      <c r="E112" s="72">
        <v>5</v>
      </c>
      <c r="F112" s="72" t="s">
        <v>176</v>
      </c>
      <c r="G112" s="56">
        <v>0</v>
      </c>
      <c r="H112" s="56">
        <v>1</v>
      </c>
      <c r="I112" s="56">
        <v>1</v>
      </c>
      <c r="J112" s="56">
        <v>1</v>
      </c>
      <c r="K112" s="56">
        <v>0</v>
      </c>
      <c r="L112" s="56">
        <v>4</v>
      </c>
      <c r="M112" s="56">
        <v>1</v>
      </c>
      <c r="N112" s="56">
        <v>1</v>
      </c>
      <c r="O112" s="56">
        <v>0</v>
      </c>
      <c r="P112" s="56">
        <v>0</v>
      </c>
      <c r="Q112" s="56">
        <v>0</v>
      </c>
      <c r="R112" s="56">
        <v>0</v>
      </c>
      <c r="S112" s="56">
        <v>0</v>
      </c>
      <c r="T112" s="74">
        <v>18429.15</v>
      </c>
      <c r="U112" s="74"/>
      <c r="V112" s="74">
        <f>24366.05+5622.5-T112</f>
        <v>11559.399999999998</v>
      </c>
      <c r="W112" s="74"/>
      <c r="X112" s="74"/>
      <c r="Y112" s="74"/>
      <c r="Z112" s="69">
        <f t="shared" si="21"/>
        <v>5193.49375</v>
      </c>
      <c r="AA112" s="69">
        <f t="shared" si="22"/>
        <v>0</v>
      </c>
      <c r="AB112" s="69">
        <f t="shared" si="23"/>
        <v>0</v>
      </c>
      <c r="AC112" s="69">
        <f t="shared" si="24"/>
        <v>0</v>
      </c>
      <c r="AD112" s="69">
        <f t="shared" si="25"/>
        <v>0</v>
      </c>
      <c r="AE112" s="69">
        <f t="shared" si="26"/>
        <v>1558.0481249999998</v>
      </c>
      <c r="AF112" s="69">
        <f t="shared" si="27"/>
        <v>3635.445625</v>
      </c>
      <c r="AG112" s="52">
        <v>3</v>
      </c>
      <c r="AH112" s="80" t="s">
        <v>69</v>
      </c>
      <c r="AI112" s="78" t="s">
        <v>253</v>
      </c>
      <c r="AJ112" s="53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</row>
    <row r="113" spans="2:94" s="22" customFormat="1" ht="19.5" thickBot="1" thickTop="1">
      <c r="B113" s="56">
        <v>9</v>
      </c>
      <c r="C113" s="18">
        <v>15489</v>
      </c>
      <c r="D113" s="18" t="s">
        <v>24</v>
      </c>
      <c r="E113" s="65">
        <v>3</v>
      </c>
      <c r="F113" s="65" t="s">
        <v>194</v>
      </c>
      <c r="G113" s="56">
        <v>0</v>
      </c>
      <c r="H113" s="66">
        <v>1</v>
      </c>
      <c r="I113" s="66">
        <v>1</v>
      </c>
      <c r="J113" s="66">
        <v>1</v>
      </c>
      <c r="K113" s="56">
        <v>0</v>
      </c>
      <c r="L113" s="56">
        <v>2</v>
      </c>
      <c r="M113" s="66">
        <v>1</v>
      </c>
      <c r="N113" s="66">
        <v>1</v>
      </c>
      <c r="O113" s="66">
        <v>0</v>
      </c>
      <c r="P113" s="66">
        <v>0</v>
      </c>
      <c r="Q113" s="66">
        <v>0</v>
      </c>
      <c r="R113" s="66">
        <v>1</v>
      </c>
      <c r="S113" s="66">
        <v>0</v>
      </c>
      <c r="T113" s="67">
        <v>0</v>
      </c>
      <c r="U113" s="67"/>
      <c r="V113" s="67"/>
      <c r="W113" s="67"/>
      <c r="X113" s="67"/>
      <c r="Y113" s="67"/>
      <c r="Z113" s="69">
        <f t="shared" si="21"/>
        <v>0</v>
      </c>
      <c r="AA113" s="69">
        <f t="shared" si="22"/>
        <v>0</v>
      </c>
      <c r="AB113" s="69">
        <f t="shared" si="23"/>
        <v>0</v>
      </c>
      <c r="AC113" s="69">
        <f t="shared" si="24"/>
        <v>0</v>
      </c>
      <c r="AD113" s="69">
        <f t="shared" si="25"/>
        <v>0</v>
      </c>
      <c r="AE113" s="69">
        <f t="shared" si="26"/>
        <v>0</v>
      </c>
      <c r="AF113" s="69">
        <f t="shared" si="27"/>
        <v>0</v>
      </c>
      <c r="AG113" s="45">
        <v>3</v>
      </c>
      <c r="AH113" s="80" t="s">
        <v>88</v>
      </c>
      <c r="AI113" s="78" t="s">
        <v>253</v>
      </c>
      <c r="AJ113" s="3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</row>
    <row r="114" spans="2:94" s="22" customFormat="1" ht="19.5" thickBot="1" thickTop="1">
      <c r="B114" s="56">
        <v>10</v>
      </c>
      <c r="C114" s="18">
        <v>15034</v>
      </c>
      <c r="D114" s="18" t="s">
        <v>24</v>
      </c>
      <c r="E114" s="65">
        <v>7</v>
      </c>
      <c r="F114" s="65" t="s">
        <v>118</v>
      </c>
      <c r="G114" s="56">
        <v>0</v>
      </c>
      <c r="H114" s="66">
        <v>1</v>
      </c>
      <c r="I114" s="66">
        <v>1</v>
      </c>
      <c r="J114" s="66">
        <v>1</v>
      </c>
      <c r="K114" s="56">
        <v>0</v>
      </c>
      <c r="L114" s="56">
        <v>4</v>
      </c>
      <c r="M114" s="66">
        <v>1</v>
      </c>
      <c r="N114" s="66">
        <v>1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7">
        <f>3570.5+4701</f>
        <v>8271.5</v>
      </c>
      <c r="U114" s="67"/>
      <c r="V114" s="67">
        <f>5100+6520-T114</f>
        <v>3348.5</v>
      </c>
      <c r="W114" s="67"/>
      <c r="X114" s="68"/>
      <c r="Y114" s="68"/>
      <c r="Z114" s="69">
        <f t="shared" si="21"/>
        <v>1871.0625</v>
      </c>
      <c r="AA114" s="69">
        <f t="shared" si="22"/>
        <v>0</v>
      </c>
      <c r="AB114" s="69">
        <f t="shared" si="23"/>
        <v>0</v>
      </c>
      <c r="AC114" s="69">
        <f t="shared" si="24"/>
        <v>0</v>
      </c>
      <c r="AD114" s="69">
        <f t="shared" si="25"/>
        <v>0</v>
      </c>
      <c r="AE114" s="69">
        <f t="shared" si="26"/>
        <v>561.31875</v>
      </c>
      <c r="AF114" s="69">
        <f t="shared" si="27"/>
        <v>1309.74375</v>
      </c>
      <c r="AG114" s="45">
        <v>5.5</v>
      </c>
      <c r="AH114" s="82" t="s">
        <v>51</v>
      </c>
      <c r="AI114" s="78" t="s">
        <v>253</v>
      </c>
      <c r="AJ114" s="20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</row>
    <row r="115" spans="1:93" s="25" customFormat="1" ht="19.5" thickBot="1" thickTop="1">
      <c r="A115" s="32"/>
      <c r="B115" s="56">
        <v>11</v>
      </c>
      <c r="C115" s="18">
        <v>15384</v>
      </c>
      <c r="D115" s="18" t="s">
        <v>24</v>
      </c>
      <c r="E115" s="65">
        <v>3</v>
      </c>
      <c r="F115" s="65" t="s">
        <v>170</v>
      </c>
      <c r="G115" s="66">
        <v>0</v>
      </c>
      <c r="H115" s="66">
        <v>1</v>
      </c>
      <c r="I115" s="66">
        <v>0</v>
      </c>
      <c r="J115" s="66">
        <v>1</v>
      </c>
      <c r="K115" s="56">
        <v>0</v>
      </c>
      <c r="L115" s="56">
        <v>5</v>
      </c>
      <c r="M115" s="56">
        <v>0</v>
      </c>
      <c r="N115" s="66">
        <v>1</v>
      </c>
      <c r="O115" s="66">
        <v>1</v>
      </c>
      <c r="P115" s="66">
        <v>0</v>
      </c>
      <c r="Q115" s="66">
        <v>1</v>
      </c>
      <c r="R115" s="66">
        <v>0</v>
      </c>
      <c r="S115" s="66">
        <v>0</v>
      </c>
      <c r="T115" s="74"/>
      <c r="U115" s="74"/>
      <c r="V115" s="74">
        <v>10788</v>
      </c>
      <c r="W115" s="74"/>
      <c r="X115" s="74"/>
      <c r="Y115" s="74"/>
      <c r="Z115" s="69">
        <f t="shared" si="21"/>
        <v>2157.6</v>
      </c>
      <c r="AA115" s="69">
        <f t="shared" si="22"/>
        <v>647.28</v>
      </c>
      <c r="AB115" s="69">
        <f t="shared" si="23"/>
        <v>0</v>
      </c>
      <c r="AC115" s="69">
        <f t="shared" si="24"/>
        <v>0</v>
      </c>
      <c r="AD115" s="69">
        <f t="shared" si="25"/>
        <v>0</v>
      </c>
      <c r="AE115" s="69">
        <f t="shared" si="26"/>
        <v>0</v>
      </c>
      <c r="AF115" s="69">
        <f t="shared" si="27"/>
        <v>1510.32</v>
      </c>
      <c r="AG115" s="45">
        <v>6</v>
      </c>
      <c r="AH115" s="80" t="s">
        <v>209</v>
      </c>
      <c r="AI115" s="78" t="s">
        <v>253</v>
      </c>
      <c r="AJ115" s="28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</row>
    <row r="116" spans="1:94" s="39" customFormat="1" ht="19.5" thickBot="1" thickTop="1">
      <c r="A116" s="34"/>
      <c r="B116" s="56">
        <v>12</v>
      </c>
      <c r="C116" s="48">
        <v>13870</v>
      </c>
      <c r="D116" s="48" t="s">
        <v>24</v>
      </c>
      <c r="E116" s="72">
        <v>9</v>
      </c>
      <c r="F116" s="72" t="s">
        <v>236</v>
      </c>
      <c r="G116" s="56">
        <v>0</v>
      </c>
      <c r="H116" s="56">
        <v>1</v>
      </c>
      <c r="I116" s="56">
        <v>0</v>
      </c>
      <c r="J116" s="56">
        <v>1</v>
      </c>
      <c r="K116" s="56">
        <v>0</v>
      </c>
      <c r="L116" s="56">
        <v>3</v>
      </c>
      <c r="M116" s="56">
        <v>1</v>
      </c>
      <c r="N116" s="56">
        <v>1</v>
      </c>
      <c r="O116" s="56">
        <v>0</v>
      </c>
      <c r="P116" s="56">
        <v>0</v>
      </c>
      <c r="Q116" s="56">
        <v>0</v>
      </c>
      <c r="R116" s="56">
        <v>0</v>
      </c>
      <c r="S116" s="56">
        <v>0</v>
      </c>
      <c r="T116" s="154">
        <f>12784.57+12168.48</f>
        <v>24953.05</v>
      </c>
      <c r="U116" s="74"/>
      <c r="V116" s="154">
        <f>15430.8+14814.69-T116</f>
        <v>5292.439999999999</v>
      </c>
      <c r="W116" s="74"/>
      <c r="X116" s="74"/>
      <c r="Y116" s="74"/>
      <c r="Z116" s="69">
        <f t="shared" si="21"/>
        <v>5922.988333333332</v>
      </c>
      <c r="AA116" s="69">
        <f t="shared" si="22"/>
        <v>0</v>
      </c>
      <c r="AB116" s="69">
        <f t="shared" si="23"/>
        <v>0</v>
      </c>
      <c r="AC116" s="69">
        <f t="shared" si="24"/>
        <v>0</v>
      </c>
      <c r="AD116" s="69">
        <f t="shared" si="25"/>
        <v>0</v>
      </c>
      <c r="AE116" s="69">
        <f t="shared" si="26"/>
        <v>0</v>
      </c>
      <c r="AF116" s="35">
        <f t="shared" si="27"/>
        <v>5922.988333333332</v>
      </c>
      <c r="AG116" s="45">
        <v>8.5</v>
      </c>
      <c r="AH116" s="83" t="s">
        <v>23</v>
      </c>
      <c r="AI116" s="84" t="s">
        <v>254</v>
      </c>
      <c r="AJ116" s="37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</row>
    <row r="117" spans="1:94" s="39" customFormat="1" ht="19.5" thickBot="1" thickTop="1">
      <c r="A117" s="34"/>
      <c r="B117" s="56">
        <v>13</v>
      </c>
      <c r="C117" s="48">
        <v>15198</v>
      </c>
      <c r="D117" s="48" t="s">
        <v>24</v>
      </c>
      <c r="E117" s="72">
        <v>5</v>
      </c>
      <c r="F117" s="72" t="s">
        <v>228</v>
      </c>
      <c r="G117" s="56">
        <v>0</v>
      </c>
      <c r="H117" s="56">
        <v>1</v>
      </c>
      <c r="I117" s="56">
        <v>0</v>
      </c>
      <c r="J117" s="56">
        <v>1</v>
      </c>
      <c r="K117" s="56">
        <v>1</v>
      </c>
      <c r="L117" s="56">
        <v>3</v>
      </c>
      <c r="M117" s="56">
        <v>1</v>
      </c>
      <c r="N117" s="56">
        <v>1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74">
        <f>9246.87+2436.48</f>
        <v>11683.35</v>
      </c>
      <c r="U117" s="74"/>
      <c r="V117" s="74">
        <f>12040.4-T117</f>
        <v>357.0499999999993</v>
      </c>
      <c r="W117" s="74"/>
      <c r="X117" s="74"/>
      <c r="Y117" s="74"/>
      <c r="Z117" s="69">
        <f t="shared" si="21"/>
        <v>2066.2416666666663</v>
      </c>
      <c r="AA117" s="69">
        <f t="shared" si="22"/>
        <v>0</v>
      </c>
      <c r="AB117" s="69">
        <f t="shared" si="23"/>
        <v>413.2483333333333</v>
      </c>
      <c r="AC117" s="69">
        <f t="shared" si="24"/>
        <v>0</v>
      </c>
      <c r="AD117" s="69">
        <f t="shared" si="25"/>
        <v>0</v>
      </c>
      <c r="AE117" s="69">
        <f t="shared" si="26"/>
        <v>0</v>
      </c>
      <c r="AF117" s="69">
        <f t="shared" si="27"/>
        <v>1652.993333333333</v>
      </c>
      <c r="AG117" s="45">
        <v>9.5</v>
      </c>
      <c r="AH117" s="83" t="s">
        <v>26</v>
      </c>
      <c r="AI117" s="78" t="s">
        <v>253</v>
      </c>
      <c r="AJ117" s="37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</row>
    <row r="118" spans="1:94" s="25" customFormat="1" ht="22.5" customHeight="1" thickBot="1" thickTop="1">
      <c r="A118" s="27"/>
      <c r="B118" s="56">
        <v>14</v>
      </c>
      <c r="C118" s="18">
        <v>15443</v>
      </c>
      <c r="D118" s="18" t="s">
        <v>24</v>
      </c>
      <c r="E118" s="65">
        <v>3</v>
      </c>
      <c r="F118" s="65" t="s">
        <v>221</v>
      </c>
      <c r="G118" s="56">
        <v>0</v>
      </c>
      <c r="H118" s="66">
        <v>1</v>
      </c>
      <c r="I118" s="66">
        <v>0</v>
      </c>
      <c r="J118" s="66">
        <v>1</v>
      </c>
      <c r="K118" s="56">
        <v>0</v>
      </c>
      <c r="L118" s="56">
        <v>3</v>
      </c>
      <c r="M118" s="66">
        <v>1</v>
      </c>
      <c r="N118" s="66">
        <v>1</v>
      </c>
      <c r="O118" s="66">
        <v>0</v>
      </c>
      <c r="P118" s="66">
        <v>0</v>
      </c>
      <c r="Q118" s="66">
        <v>1</v>
      </c>
      <c r="R118" s="66">
        <v>0</v>
      </c>
      <c r="S118" s="66">
        <v>0</v>
      </c>
      <c r="T118" s="67">
        <f>2078.68+1238.4+5320.12+1805.76</f>
        <v>10442.960000000001</v>
      </c>
      <c r="U118" s="67"/>
      <c r="V118" s="67">
        <f>3317.09+7619.98-T118</f>
        <v>494.10999999999876</v>
      </c>
      <c r="W118" s="67"/>
      <c r="X118" s="68"/>
      <c r="Y118" s="68"/>
      <c r="Z118" s="69">
        <f t="shared" si="21"/>
        <v>1905.1966666666665</v>
      </c>
      <c r="AA118" s="69">
        <f t="shared" si="22"/>
        <v>0</v>
      </c>
      <c r="AB118" s="69">
        <f t="shared" si="23"/>
        <v>0</v>
      </c>
      <c r="AC118" s="69">
        <f t="shared" si="24"/>
        <v>0</v>
      </c>
      <c r="AD118" s="69">
        <f t="shared" si="25"/>
        <v>0</v>
      </c>
      <c r="AE118" s="69">
        <f t="shared" si="26"/>
        <v>0</v>
      </c>
      <c r="AF118" s="69">
        <f t="shared" si="27"/>
        <v>1905.1966666666665</v>
      </c>
      <c r="AG118" s="45">
        <v>11</v>
      </c>
      <c r="AH118" s="80" t="s">
        <v>100</v>
      </c>
      <c r="AI118" s="78" t="s">
        <v>253</v>
      </c>
      <c r="AJ118" s="28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</row>
    <row r="119" spans="1:94" s="25" customFormat="1" ht="22.5" customHeight="1" thickBot="1" thickTop="1">
      <c r="A119" s="27">
        <v>197</v>
      </c>
      <c r="B119" s="56">
        <v>15</v>
      </c>
      <c r="C119" s="18">
        <v>15346</v>
      </c>
      <c r="D119" s="18" t="s">
        <v>24</v>
      </c>
      <c r="E119" s="65">
        <v>3</v>
      </c>
      <c r="F119" s="65" t="s">
        <v>111</v>
      </c>
      <c r="G119" s="56">
        <v>0</v>
      </c>
      <c r="H119" s="66">
        <v>1</v>
      </c>
      <c r="I119" s="66">
        <v>1</v>
      </c>
      <c r="J119" s="66">
        <v>1</v>
      </c>
      <c r="K119" s="56">
        <v>0</v>
      </c>
      <c r="L119" s="56">
        <v>4</v>
      </c>
      <c r="M119" s="66">
        <v>1</v>
      </c>
      <c r="N119" s="66">
        <v>1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7"/>
      <c r="U119" s="67"/>
      <c r="V119" s="67">
        <f>10460+2500</f>
        <v>12960</v>
      </c>
      <c r="W119" s="67"/>
      <c r="X119" s="67"/>
      <c r="Y119" s="67"/>
      <c r="Z119" s="69">
        <f t="shared" si="21"/>
        <v>3240</v>
      </c>
      <c r="AA119" s="69">
        <f t="shared" si="22"/>
        <v>0</v>
      </c>
      <c r="AB119" s="69">
        <f t="shared" si="23"/>
        <v>0</v>
      </c>
      <c r="AC119" s="69">
        <f t="shared" si="24"/>
        <v>0</v>
      </c>
      <c r="AD119" s="69">
        <f t="shared" si="25"/>
        <v>0</v>
      </c>
      <c r="AE119" s="69">
        <f t="shared" si="26"/>
        <v>972</v>
      </c>
      <c r="AF119" s="69">
        <f t="shared" si="27"/>
        <v>2268</v>
      </c>
      <c r="AG119" s="45">
        <v>11</v>
      </c>
      <c r="AH119" s="80" t="s">
        <v>50</v>
      </c>
      <c r="AI119" s="78" t="s">
        <v>253</v>
      </c>
      <c r="AJ119" s="19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</row>
    <row r="120" spans="1:94" s="43" customFormat="1" ht="22.5" customHeight="1" thickBot="1" thickTop="1">
      <c r="A120" s="40">
        <v>35</v>
      </c>
      <c r="B120" s="56">
        <v>16</v>
      </c>
      <c r="C120" s="18">
        <v>15250</v>
      </c>
      <c r="D120" s="18" t="s">
        <v>24</v>
      </c>
      <c r="E120" s="65">
        <v>5</v>
      </c>
      <c r="F120" s="65" t="s">
        <v>126</v>
      </c>
      <c r="G120" s="56">
        <v>0</v>
      </c>
      <c r="H120" s="66">
        <v>1</v>
      </c>
      <c r="I120" s="66">
        <v>0</v>
      </c>
      <c r="J120" s="66">
        <v>1</v>
      </c>
      <c r="K120" s="56">
        <v>0</v>
      </c>
      <c r="L120" s="56">
        <v>4</v>
      </c>
      <c r="M120" s="66">
        <v>1</v>
      </c>
      <c r="N120" s="66">
        <v>1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7"/>
      <c r="U120" s="67"/>
      <c r="V120" s="67">
        <f>3000+9140+2500</f>
        <v>14640</v>
      </c>
      <c r="W120" s="67"/>
      <c r="X120" s="67"/>
      <c r="Y120" s="67"/>
      <c r="Z120" s="69">
        <f t="shared" si="21"/>
        <v>3660</v>
      </c>
      <c r="AA120" s="69">
        <f t="shared" si="22"/>
        <v>0</v>
      </c>
      <c r="AB120" s="69">
        <f t="shared" si="23"/>
        <v>0</v>
      </c>
      <c r="AC120" s="69">
        <f t="shared" si="24"/>
        <v>0</v>
      </c>
      <c r="AD120" s="69">
        <f t="shared" si="25"/>
        <v>0</v>
      </c>
      <c r="AE120" s="69">
        <f t="shared" si="26"/>
        <v>0</v>
      </c>
      <c r="AF120" s="69">
        <f t="shared" si="27"/>
        <v>3660</v>
      </c>
      <c r="AG120" s="52">
        <v>11.5</v>
      </c>
      <c r="AH120" s="80" t="s">
        <v>75</v>
      </c>
      <c r="AI120" s="78" t="s">
        <v>253</v>
      </c>
      <c r="AJ120" s="41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</row>
    <row r="121" spans="1:94" s="39" customFormat="1" ht="22.5" customHeight="1" thickBot="1" thickTop="1">
      <c r="A121" s="55">
        <v>49</v>
      </c>
      <c r="B121" s="56">
        <v>17</v>
      </c>
      <c r="C121" s="18">
        <v>15114</v>
      </c>
      <c r="D121" s="18" t="s">
        <v>24</v>
      </c>
      <c r="E121" s="65">
        <v>7</v>
      </c>
      <c r="F121" s="65" t="s">
        <v>120</v>
      </c>
      <c r="G121" s="56">
        <v>0</v>
      </c>
      <c r="H121" s="66">
        <v>1</v>
      </c>
      <c r="I121" s="66">
        <v>0</v>
      </c>
      <c r="J121" s="66">
        <v>1</v>
      </c>
      <c r="K121" s="56">
        <v>0</v>
      </c>
      <c r="L121" s="56">
        <v>4</v>
      </c>
      <c r="M121" s="66">
        <v>1</v>
      </c>
      <c r="N121" s="66">
        <v>1</v>
      </c>
      <c r="O121" s="66">
        <v>0</v>
      </c>
      <c r="P121" s="66">
        <v>0</v>
      </c>
      <c r="Q121" s="66">
        <v>1</v>
      </c>
      <c r="R121" s="66">
        <v>1</v>
      </c>
      <c r="S121" s="66">
        <v>0</v>
      </c>
      <c r="T121" s="67">
        <v>14931.05</v>
      </c>
      <c r="U121" s="67"/>
      <c r="V121" s="67">
        <v>0.03</v>
      </c>
      <c r="W121" s="67"/>
      <c r="X121" s="68"/>
      <c r="Y121" s="68"/>
      <c r="Z121" s="69">
        <f t="shared" si="21"/>
        <v>1866.3887499999998</v>
      </c>
      <c r="AA121" s="69">
        <f t="shared" si="22"/>
        <v>0</v>
      </c>
      <c r="AB121" s="69">
        <f t="shared" si="23"/>
        <v>0</v>
      </c>
      <c r="AC121" s="69">
        <f t="shared" si="24"/>
        <v>186.63887499999998</v>
      </c>
      <c r="AD121" s="69">
        <f t="shared" si="25"/>
        <v>0</v>
      </c>
      <c r="AE121" s="69">
        <f t="shared" si="26"/>
        <v>0</v>
      </c>
      <c r="AF121" s="69">
        <f t="shared" si="27"/>
        <v>1679.749875</v>
      </c>
      <c r="AG121" s="45">
        <v>12.5</v>
      </c>
      <c r="AH121" s="71" t="s">
        <v>56</v>
      </c>
      <c r="AI121" s="78" t="s">
        <v>253</v>
      </c>
      <c r="AJ121" s="37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</row>
    <row r="122" spans="1:94" s="25" customFormat="1" ht="22.5" customHeight="1" thickBot="1" thickTop="1">
      <c r="A122" s="27">
        <v>97</v>
      </c>
      <c r="B122" s="56">
        <v>18</v>
      </c>
      <c r="C122" s="48">
        <v>15154</v>
      </c>
      <c r="D122" s="48" t="s">
        <v>24</v>
      </c>
      <c r="E122" s="72">
        <v>5</v>
      </c>
      <c r="F122" s="72" t="s">
        <v>239</v>
      </c>
      <c r="G122" s="56">
        <v>0</v>
      </c>
      <c r="H122" s="56">
        <v>1</v>
      </c>
      <c r="I122" s="56">
        <v>0</v>
      </c>
      <c r="J122" s="56">
        <v>1</v>
      </c>
      <c r="K122" s="56">
        <v>0</v>
      </c>
      <c r="L122" s="56">
        <v>3</v>
      </c>
      <c r="M122" s="56">
        <v>1</v>
      </c>
      <c r="N122" s="56">
        <v>1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74">
        <v>8196.42</v>
      </c>
      <c r="U122" s="74"/>
      <c r="V122" s="74">
        <f>8199.21+4800-T122</f>
        <v>4802.789999999999</v>
      </c>
      <c r="W122" s="74"/>
      <c r="X122" s="74"/>
      <c r="Y122" s="74"/>
      <c r="Z122" s="69">
        <f t="shared" si="21"/>
        <v>2967</v>
      </c>
      <c r="AA122" s="69">
        <f t="shared" si="22"/>
        <v>0</v>
      </c>
      <c r="AB122" s="69">
        <f t="shared" si="23"/>
        <v>0</v>
      </c>
      <c r="AC122" s="69">
        <f t="shared" si="24"/>
        <v>0</v>
      </c>
      <c r="AD122" s="69">
        <f t="shared" si="25"/>
        <v>0</v>
      </c>
      <c r="AE122" s="69">
        <f t="shared" si="26"/>
        <v>0</v>
      </c>
      <c r="AF122" s="69">
        <f t="shared" si="27"/>
        <v>2967</v>
      </c>
      <c r="AG122" s="45">
        <v>12.5</v>
      </c>
      <c r="AH122" s="83" t="s">
        <v>22</v>
      </c>
      <c r="AI122" s="78" t="s">
        <v>253</v>
      </c>
      <c r="AJ122" s="28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</row>
    <row r="123" spans="1:94" s="25" customFormat="1" ht="19.5" thickBot="1" thickTop="1">
      <c r="A123" s="27"/>
      <c r="B123" s="56">
        <v>19</v>
      </c>
      <c r="C123" s="18">
        <v>2012</v>
      </c>
      <c r="D123" s="18" t="s">
        <v>20</v>
      </c>
      <c r="E123" s="65">
        <v>9</v>
      </c>
      <c r="F123" s="65" t="s">
        <v>132</v>
      </c>
      <c r="G123" s="56">
        <v>0</v>
      </c>
      <c r="H123" s="66">
        <v>1</v>
      </c>
      <c r="I123" s="66">
        <v>1</v>
      </c>
      <c r="J123" s="66">
        <v>1</v>
      </c>
      <c r="K123" s="56">
        <v>0</v>
      </c>
      <c r="L123" s="56">
        <v>3</v>
      </c>
      <c r="M123" s="66">
        <v>1</v>
      </c>
      <c r="N123" s="66">
        <v>1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7">
        <f>4748.19+2615.04</f>
        <v>7363.23</v>
      </c>
      <c r="U123" s="67"/>
      <c r="V123" s="67">
        <v>4460</v>
      </c>
      <c r="W123" s="67"/>
      <c r="X123" s="67"/>
      <c r="Y123" s="67"/>
      <c r="Z123" s="69">
        <f t="shared" si="21"/>
        <v>2713.8716666666664</v>
      </c>
      <c r="AA123" s="69">
        <f t="shared" si="22"/>
        <v>0</v>
      </c>
      <c r="AB123" s="69">
        <f t="shared" si="23"/>
        <v>0</v>
      </c>
      <c r="AC123" s="69">
        <f t="shared" si="24"/>
        <v>0</v>
      </c>
      <c r="AD123" s="69">
        <f t="shared" si="25"/>
        <v>0</v>
      </c>
      <c r="AE123" s="69">
        <f t="shared" si="26"/>
        <v>814.1614999999999</v>
      </c>
      <c r="AF123" s="69">
        <f t="shared" si="27"/>
        <v>1899.7101666666665</v>
      </c>
      <c r="AG123" s="36">
        <v>13</v>
      </c>
      <c r="AH123" s="71" t="s">
        <v>38</v>
      </c>
      <c r="AI123" s="148" t="s">
        <v>256</v>
      </c>
      <c r="AJ123" s="19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</row>
    <row r="124" spans="1:94" s="43" customFormat="1" ht="22.5" customHeight="1" thickBot="1" thickTop="1">
      <c r="A124" s="40">
        <v>28</v>
      </c>
      <c r="B124" s="56">
        <v>20</v>
      </c>
      <c r="C124" s="18">
        <v>15102</v>
      </c>
      <c r="D124" s="18" t="s">
        <v>24</v>
      </c>
      <c r="E124" s="65">
        <v>7</v>
      </c>
      <c r="F124" s="65" t="s">
        <v>121</v>
      </c>
      <c r="G124" s="56">
        <v>0</v>
      </c>
      <c r="H124" s="66">
        <v>1</v>
      </c>
      <c r="I124" s="66">
        <v>0</v>
      </c>
      <c r="J124" s="66">
        <v>1</v>
      </c>
      <c r="K124" s="56">
        <v>0</v>
      </c>
      <c r="L124" s="56">
        <v>3</v>
      </c>
      <c r="M124" s="66">
        <v>1</v>
      </c>
      <c r="N124" s="66">
        <v>1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7">
        <f>5555.71+9951.69</f>
        <v>15507.400000000001</v>
      </c>
      <c r="U124" s="67"/>
      <c r="V124" s="67">
        <f>6099.17+9951.69-T124</f>
        <v>543.4599999999991</v>
      </c>
      <c r="W124" s="67"/>
      <c r="X124" s="68"/>
      <c r="Y124" s="68"/>
      <c r="Z124" s="69">
        <f t="shared" si="21"/>
        <v>2765.72</v>
      </c>
      <c r="AA124" s="69">
        <f t="shared" si="22"/>
        <v>0</v>
      </c>
      <c r="AB124" s="69">
        <f t="shared" si="23"/>
        <v>0</v>
      </c>
      <c r="AC124" s="69">
        <f t="shared" si="24"/>
        <v>0</v>
      </c>
      <c r="AD124" s="69">
        <f t="shared" si="25"/>
        <v>0</v>
      </c>
      <c r="AE124" s="69">
        <f t="shared" si="26"/>
        <v>0</v>
      </c>
      <c r="AF124" s="69">
        <f t="shared" si="27"/>
        <v>2765.72</v>
      </c>
      <c r="AG124" s="45">
        <v>13.5</v>
      </c>
      <c r="AH124" s="149" t="s">
        <v>43</v>
      </c>
      <c r="AI124" s="78" t="s">
        <v>253</v>
      </c>
      <c r="AJ124" s="58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</row>
    <row r="125" spans="1:94" s="25" customFormat="1" ht="22.5" customHeight="1" thickBot="1" thickTop="1">
      <c r="A125" s="27">
        <v>110</v>
      </c>
      <c r="B125" s="56">
        <v>21</v>
      </c>
      <c r="C125" s="18">
        <v>15318</v>
      </c>
      <c r="D125" s="18" t="s">
        <v>24</v>
      </c>
      <c r="E125" s="65">
        <v>3</v>
      </c>
      <c r="F125" s="65" t="s">
        <v>220</v>
      </c>
      <c r="G125" s="56">
        <v>0</v>
      </c>
      <c r="H125" s="66">
        <v>1</v>
      </c>
      <c r="I125" s="66">
        <v>0</v>
      </c>
      <c r="J125" s="66">
        <v>1</v>
      </c>
      <c r="K125" s="56">
        <v>0</v>
      </c>
      <c r="L125" s="56">
        <v>4</v>
      </c>
      <c r="M125" s="66">
        <v>1</v>
      </c>
      <c r="N125" s="66">
        <v>1</v>
      </c>
      <c r="O125" s="66">
        <v>1</v>
      </c>
      <c r="P125" s="66">
        <v>0</v>
      </c>
      <c r="Q125" s="66">
        <v>0</v>
      </c>
      <c r="R125" s="66">
        <v>0</v>
      </c>
      <c r="S125" s="66">
        <v>0</v>
      </c>
      <c r="T125" s="67">
        <v>12910.05</v>
      </c>
      <c r="U125" s="67"/>
      <c r="V125" s="67">
        <f>12932.75+4100-T125</f>
        <v>4122.700000000001</v>
      </c>
      <c r="W125" s="67"/>
      <c r="X125" s="67"/>
      <c r="Y125" s="67"/>
      <c r="Z125" s="69">
        <f t="shared" si="21"/>
        <v>2644.43125</v>
      </c>
      <c r="AA125" s="69">
        <f t="shared" si="22"/>
        <v>793.329375</v>
      </c>
      <c r="AB125" s="69">
        <f t="shared" si="23"/>
        <v>0</v>
      </c>
      <c r="AC125" s="69">
        <f t="shared" si="24"/>
        <v>0</v>
      </c>
      <c r="AD125" s="69">
        <f t="shared" si="25"/>
        <v>0</v>
      </c>
      <c r="AE125" s="69">
        <f t="shared" si="26"/>
        <v>0</v>
      </c>
      <c r="AF125" s="69">
        <f t="shared" si="27"/>
        <v>1851.101875</v>
      </c>
      <c r="AG125" s="45">
        <v>14.5</v>
      </c>
      <c r="AH125" s="80" t="s">
        <v>50</v>
      </c>
      <c r="AI125" s="78" t="s">
        <v>253</v>
      </c>
      <c r="AJ125" s="30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</row>
    <row r="126" spans="2:94" s="22" customFormat="1" ht="19.5" thickBot="1" thickTop="1">
      <c r="B126" s="56">
        <v>22</v>
      </c>
      <c r="C126" s="18">
        <v>15171</v>
      </c>
      <c r="D126" s="18" t="s">
        <v>21</v>
      </c>
      <c r="E126" s="65">
        <v>5</v>
      </c>
      <c r="F126" s="65" t="s">
        <v>166</v>
      </c>
      <c r="G126" s="66">
        <v>0</v>
      </c>
      <c r="H126" s="66">
        <v>1</v>
      </c>
      <c r="I126" s="66">
        <v>1</v>
      </c>
      <c r="J126" s="66">
        <v>1</v>
      </c>
      <c r="K126" s="56">
        <v>0</v>
      </c>
      <c r="L126" s="56">
        <v>3</v>
      </c>
      <c r="M126" s="56">
        <v>1</v>
      </c>
      <c r="N126" s="66">
        <v>1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74">
        <v>10707.84</v>
      </c>
      <c r="U126" s="74"/>
      <c r="V126" s="74">
        <f>12573.14+2500-T126</f>
        <v>4365.299999999999</v>
      </c>
      <c r="W126" s="74"/>
      <c r="X126" s="74"/>
      <c r="Y126" s="74"/>
      <c r="Z126" s="69">
        <f t="shared" si="21"/>
        <v>3239.74</v>
      </c>
      <c r="AA126" s="69">
        <f t="shared" si="22"/>
        <v>0</v>
      </c>
      <c r="AB126" s="69">
        <f t="shared" si="23"/>
        <v>0</v>
      </c>
      <c r="AC126" s="69">
        <f t="shared" si="24"/>
        <v>0</v>
      </c>
      <c r="AD126" s="69">
        <f t="shared" si="25"/>
        <v>0</v>
      </c>
      <c r="AE126" s="69">
        <f t="shared" si="26"/>
        <v>971.9219999999999</v>
      </c>
      <c r="AF126" s="69">
        <f t="shared" si="27"/>
        <v>2267.8179999999998</v>
      </c>
      <c r="AG126" s="52">
        <v>15</v>
      </c>
      <c r="AH126" s="83" t="s">
        <v>43</v>
      </c>
      <c r="AI126" s="78" t="s">
        <v>253</v>
      </c>
      <c r="AJ126" s="20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</row>
    <row r="127" spans="2:94" s="22" customFormat="1" ht="19.5" thickBot="1" thickTop="1">
      <c r="B127" s="56">
        <v>23</v>
      </c>
      <c r="C127" s="18">
        <v>15457</v>
      </c>
      <c r="D127" s="18" t="s">
        <v>24</v>
      </c>
      <c r="E127" s="65">
        <v>3</v>
      </c>
      <c r="F127" s="65" t="s">
        <v>105</v>
      </c>
      <c r="G127" s="66">
        <v>0</v>
      </c>
      <c r="H127" s="66">
        <v>1</v>
      </c>
      <c r="I127" s="66">
        <v>1</v>
      </c>
      <c r="J127" s="66">
        <v>1</v>
      </c>
      <c r="K127" s="56">
        <v>0</v>
      </c>
      <c r="L127" s="56">
        <v>4</v>
      </c>
      <c r="M127" s="56">
        <v>1</v>
      </c>
      <c r="N127" s="66">
        <v>1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74"/>
      <c r="U127" s="74"/>
      <c r="V127" s="74">
        <f>2500+4500</f>
        <v>7000</v>
      </c>
      <c r="W127" s="74"/>
      <c r="X127" s="74"/>
      <c r="Y127" s="74"/>
      <c r="Z127" s="69">
        <f t="shared" si="21"/>
        <v>1750</v>
      </c>
      <c r="AA127" s="69">
        <f t="shared" si="22"/>
        <v>0</v>
      </c>
      <c r="AB127" s="69">
        <f t="shared" si="23"/>
        <v>0</v>
      </c>
      <c r="AC127" s="69">
        <f t="shared" si="24"/>
        <v>0</v>
      </c>
      <c r="AD127" s="69">
        <f t="shared" si="25"/>
        <v>0</v>
      </c>
      <c r="AE127" s="69">
        <f t="shared" si="26"/>
        <v>525</v>
      </c>
      <c r="AF127" s="69">
        <f t="shared" si="27"/>
        <v>1225</v>
      </c>
      <c r="AG127" s="45">
        <v>15</v>
      </c>
      <c r="AH127" s="141" t="s">
        <v>47</v>
      </c>
      <c r="AI127" s="78" t="s">
        <v>253</v>
      </c>
      <c r="AJ127" s="20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</row>
    <row r="128" spans="1:94" s="39" customFormat="1" ht="19.5" thickBot="1" thickTop="1">
      <c r="A128" s="34"/>
      <c r="B128" s="56">
        <v>24</v>
      </c>
      <c r="C128" s="18">
        <v>15422</v>
      </c>
      <c r="D128" s="18" t="s">
        <v>21</v>
      </c>
      <c r="E128" s="65">
        <v>3</v>
      </c>
      <c r="F128" s="65" t="s">
        <v>213</v>
      </c>
      <c r="G128" s="56">
        <v>0</v>
      </c>
      <c r="H128" s="66">
        <v>1</v>
      </c>
      <c r="I128" s="66">
        <v>0</v>
      </c>
      <c r="J128" s="66">
        <v>1</v>
      </c>
      <c r="K128" s="56">
        <v>0</v>
      </c>
      <c r="L128" s="56">
        <v>5</v>
      </c>
      <c r="M128" s="66">
        <v>1</v>
      </c>
      <c r="N128" s="66">
        <v>1</v>
      </c>
      <c r="O128" s="66">
        <v>0</v>
      </c>
      <c r="P128" s="66">
        <v>0</v>
      </c>
      <c r="Q128" s="66">
        <v>1</v>
      </c>
      <c r="R128" s="66">
        <v>0</v>
      </c>
      <c r="S128" s="66">
        <v>0</v>
      </c>
      <c r="T128" s="67"/>
      <c r="U128" s="67"/>
      <c r="V128" s="67">
        <f>2500+2500</f>
        <v>5000</v>
      </c>
      <c r="W128" s="67"/>
      <c r="X128" s="68"/>
      <c r="Y128" s="68"/>
      <c r="Z128" s="69">
        <f t="shared" si="21"/>
        <v>1000</v>
      </c>
      <c r="AA128" s="69">
        <f t="shared" si="22"/>
        <v>0</v>
      </c>
      <c r="AB128" s="69">
        <f t="shared" si="23"/>
        <v>0</v>
      </c>
      <c r="AC128" s="69">
        <f t="shared" si="24"/>
        <v>0</v>
      </c>
      <c r="AD128" s="69">
        <f t="shared" si="25"/>
        <v>0</v>
      </c>
      <c r="AE128" s="69">
        <f t="shared" si="26"/>
        <v>0</v>
      </c>
      <c r="AF128" s="69">
        <f t="shared" si="27"/>
        <v>1000</v>
      </c>
      <c r="AG128" s="45">
        <v>15.5</v>
      </c>
      <c r="AH128" s="80" t="s">
        <v>84</v>
      </c>
      <c r="AI128" s="78" t="s">
        <v>253</v>
      </c>
      <c r="AJ128" s="37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</row>
    <row r="129" spans="1:94" s="25" customFormat="1" ht="22.5" customHeight="1" thickBot="1" thickTop="1">
      <c r="A129" s="27">
        <v>193</v>
      </c>
      <c r="B129" s="56">
        <v>25</v>
      </c>
      <c r="C129" s="48">
        <v>15063</v>
      </c>
      <c r="D129" s="48" t="s">
        <v>24</v>
      </c>
      <c r="E129" s="72">
        <v>7</v>
      </c>
      <c r="F129" s="72" t="s">
        <v>230</v>
      </c>
      <c r="G129" s="56">
        <v>0</v>
      </c>
      <c r="H129" s="56">
        <v>1</v>
      </c>
      <c r="I129" s="56">
        <v>0</v>
      </c>
      <c r="J129" s="56">
        <v>1</v>
      </c>
      <c r="K129" s="56">
        <v>0</v>
      </c>
      <c r="L129" s="56">
        <v>4</v>
      </c>
      <c r="M129" s="56">
        <v>1</v>
      </c>
      <c r="N129" s="56">
        <v>1</v>
      </c>
      <c r="O129" s="56">
        <v>1</v>
      </c>
      <c r="P129" s="56">
        <v>0</v>
      </c>
      <c r="Q129" s="56">
        <v>0</v>
      </c>
      <c r="R129" s="56">
        <v>0</v>
      </c>
      <c r="S129" s="56">
        <v>0</v>
      </c>
      <c r="T129" s="74">
        <v>16581.54</v>
      </c>
      <c r="U129" s="74">
        <v>100</v>
      </c>
      <c r="V129" s="74">
        <f>17003.01+5100-T129-U129</f>
        <v>5421.4699999999975</v>
      </c>
      <c r="W129" s="74"/>
      <c r="X129" s="74"/>
      <c r="Y129" s="74"/>
      <c r="Z129" s="69">
        <f t="shared" si="21"/>
        <v>3449.3099999999995</v>
      </c>
      <c r="AA129" s="69">
        <f t="shared" si="22"/>
        <v>1034.793</v>
      </c>
      <c r="AB129" s="69">
        <f t="shared" si="23"/>
        <v>0</v>
      </c>
      <c r="AC129" s="69">
        <f t="shared" si="24"/>
        <v>0</v>
      </c>
      <c r="AD129" s="69">
        <f t="shared" si="25"/>
        <v>0</v>
      </c>
      <c r="AE129" s="69">
        <f t="shared" si="26"/>
        <v>0</v>
      </c>
      <c r="AF129" s="69">
        <f t="shared" si="27"/>
        <v>2414.517</v>
      </c>
      <c r="AG129" s="45">
        <v>15.5</v>
      </c>
      <c r="AH129" s="83" t="s">
        <v>35</v>
      </c>
      <c r="AI129" s="78" t="s">
        <v>253</v>
      </c>
      <c r="AJ129" s="28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</row>
    <row r="130" spans="1:94" s="25" customFormat="1" ht="22.5" customHeight="1" thickBot="1" thickTop="1">
      <c r="A130" s="27">
        <v>85</v>
      </c>
      <c r="B130" s="56">
        <v>26</v>
      </c>
      <c r="C130" s="48">
        <v>14035</v>
      </c>
      <c r="D130" s="48" t="s">
        <v>24</v>
      </c>
      <c r="E130" s="72">
        <v>9</v>
      </c>
      <c r="F130" s="72" t="s">
        <v>231</v>
      </c>
      <c r="G130" s="56">
        <v>0</v>
      </c>
      <c r="H130" s="56">
        <v>1</v>
      </c>
      <c r="I130" s="56">
        <v>0</v>
      </c>
      <c r="J130" s="56">
        <v>1</v>
      </c>
      <c r="K130" s="56">
        <v>0</v>
      </c>
      <c r="L130" s="56">
        <v>4</v>
      </c>
      <c r="M130" s="56">
        <v>1</v>
      </c>
      <c r="N130" s="56">
        <v>1</v>
      </c>
      <c r="O130" s="56">
        <v>0</v>
      </c>
      <c r="P130" s="56">
        <v>0</v>
      </c>
      <c r="Q130" s="56">
        <v>0</v>
      </c>
      <c r="R130" s="56">
        <v>0</v>
      </c>
      <c r="S130" s="56">
        <v>0</v>
      </c>
      <c r="T130" s="74">
        <v>19338.24</v>
      </c>
      <c r="U130" s="74"/>
      <c r="V130" s="74">
        <f>19338.26+4565-T130</f>
        <v>4565.019999999997</v>
      </c>
      <c r="W130" s="74"/>
      <c r="X130" s="74"/>
      <c r="Y130" s="74"/>
      <c r="Z130" s="69">
        <f t="shared" si="21"/>
        <v>3558.5349999999994</v>
      </c>
      <c r="AA130" s="69">
        <f t="shared" si="22"/>
        <v>0</v>
      </c>
      <c r="AB130" s="69">
        <f t="shared" si="23"/>
        <v>0</v>
      </c>
      <c r="AC130" s="69">
        <f t="shared" si="24"/>
        <v>0</v>
      </c>
      <c r="AD130" s="69">
        <f t="shared" si="25"/>
        <v>0</v>
      </c>
      <c r="AE130" s="69">
        <f t="shared" si="26"/>
        <v>0</v>
      </c>
      <c r="AF130" s="69">
        <f t="shared" si="27"/>
        <v>3558.5349999999994</v>
      </c>
      <c r="AG130" s="45">
        <v>16</v>
      </c>
      <c r="AH130" s="83" t="s">
        <v>87</v>
      </c>
      <c r="AI130" s="78" t="s">
        <v>253</v>
      </c>
      <c r="AJ130" s="19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</row>
    <row r="131" spans="1:94" s="25" customFormat="1" ht="22.5" customHeight="1" thickBot="1" thickTop="1">
      <c r="A131" s="27">
        <v>39</v>
      </c>
      <c r="B131" s="56">
        <v>27</v>
      </c>
      <c r="C131" s="48">
        <v>15097</v>
      </c>
      <c r="D131" s="48" t="s">
        <v>21</v>
      </c>
      <c r="E131" s="72">
        <v>7</v>
      </c>
      <c r="F131" s="72" t="s">
        <v>136</v>
      </c>
      <c r="G131" s="56">
        <v>0</v>
      </c>
      <c r="H131" s="56">
        <v>1</v>
      </c>
      <c r="I131" s="56">
        <v>0</v>
      </c>
      <c r="J131" s="56">
        <v>1</v>
      </c>
      <c r="K131" s="56">
        <v>0</v>
      </c>
      <c r="L131" s="56">
        <v>5</v>
      </c>
      <c r="M131" s="56">
        <v>1</v>
      </c>
      <c r="N131" s="56">
        <v>1</v>
      </c>
      <c r="O131" s="56">
        <v>0</v>
      </c>
      <c r="P131" s="56">
        <v>1</v>
      </c>
      <c r="Q131" s="56">
        <v>0</v>
      </c>
      <c r="R131" s="56">
        <v>0</v>
      </c>
      <c r="S131" s="56">
        <v>0</v>
      </c>
      <c r="T131" s="74"/>
      <c r="U131" s="74"/>
      <c r="V131" s="74">
        <f>7310+2793.26</f>
        <v>10103.26</v>
      </c>
      <c r="W131" s="74"/>
      <c r="X131" s="76"/>
      <c r="Y131" s="76"/>
      <c r="Z131" s="69">
        <f t="shared" si="21"/>
        <v>2020.652</v>
      </c>
      <c r="AA131" s="69">
        <f t="shared" si="22"/>
        <v>0</v>
      </c>
      <c r="AB131" s="69">
        <f t="shared" si="23"/>
        <v>0</v>
      </c>
      <c r="AC131" s="69">
        <f t="shared" si="24"/>
        <v>0</v>
      </c>
      <c r="AD131" s="69">
        <f t="shared" si="25"/>
        <v>0</v>
      </c>
      <c r="AE131" s="69">
        <f t="shared" si="26"/>
        <v>0</v>
      </c>
      <c r="AF131" s="69">
        <f t="shared" si="27"/>
        <v>2020.652</v>
      </c>
      <c r="AG131" s="45">
        <v>17</v>
      </c>
      <c r="AH131" s="71" t="s">
        <v>49</v>
      </c>
      <c r="AI131" s="78" t="s">
        <v>253</v>
      </c>
      <c r="AJ131" s="19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</row>
    <row r="132" spans="1:94" s="39" customFormat="1" ht="22.5" customHeight="1" thickBot="1" thickTop="1">
      <c r="A132" s="34"/>
      <c r="B132" s="56">
        <v>28</v>
      </c>
      <c r="C132" s="18">
        <v>15379</v>
      </c>
      <c r="D132" s="18" t="s">
        <v>24</v>
      </c>
      <c r="E132" s="65">
        <v>3</v>
      </c>
      <c r="F132" s="65" t="s">
        <v>204</v>
      </c>
      <c r="G132" s="66">
        <v>0</v>
      </c>
      <c r="H132" s="66">
        <v>1</v>
      </c>
      <c r="I132" s="66">
        <v>1</v>
      </c>
      <c r="J132" s="66">
        <v>1</v>
      </c>
      <c r="K132" s="56">
        <v>0</v>
      </c>
      <c r="L132" s="56">
        <v>3</v>
      </c>
      <c r="M132" s="56">
        <v>1</v>
      </c>
      <c r="N132" s="66">
        <v>1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74">
        <f>1806.75+1756.8</f>
        <v>3563.55</v>
      </c>
      <c r="U132" s="74"/>
      <c r="V132" s="74">
        <f>5380+2500-T132</f>
        <v>4316.45</v>
      </c>
      <c r="W132" s="74"/>
      <c r="X132" s="74"/>
      <c r="Y132" s="74"/>
      <c r="Z132" s="69">
        <f t="shared" si="21"/>
        <v>2032.7416666666668</v>
      </c>
      <c r="AA132" s="69">
        <f t="shared" si="22"/>
        <v>0</v>
      </c>
      <c r="AB132" s="69">
        <f t="shared" si="23"/>
        <v>0</v>
      </c>
      <c r="AC132" s="69">
        <f t="shared" si="24"/>
        <v>0</v>
      </c>
      <c r="AD132" s="69">
        <f t="shared" si="25"/>
        <v>0</v>
      </c>
      <c r="AE132" s="69">
        <f t="shared" si="26"/>
        <v>609.8225</v>
      </c>
      <c r="AF132" s="69">
        <f t="shared" si="27"/>
        <v>1422.9191666666668</v>
      </c>
      <c r="AG132" s="45">
        <v>17</v>
      </c>
      <c r="AH132" s="80" t="s">
        <v>23</v>
      </c>
      <c r="AI132" s="78" t="s">
        <v>253</v>
      </c>
      <c r="AJ132" s="37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</row>
    <row r="133" spans="1:94" s="39" customFormat="1" ht="22.5" customHeight="1" thickBot="1" thickTop="1">
      <c r="A133" s="34"/>
      <c r="B133" s="56">
        <v>29</v>
      </c>
      <c r="C133" s="18">
        <v>13941</v>
      </c>
      <c r="D133" s="18" t="s">
        <v>24</v>
      </c>
      <c r="E133" s="65">
        <v>9</v>
      </c>
      <c r="F133" s="65" t="s">
        <v>131</v>
      </c>
      <c r="G133" s="56">
        <v>0</v>
      </c>
      <c r="H133" s="66">
        <v>1</v>
      </c>
      <c r="I133" s="66">
        <v>0</v>
      </c>
      <c r="J133" s="66">
        <v>1</v>
      </c>
      <c r="K133" s="56">
        <v>0</v>
      </c>
      <c r="L133" s="56">
        <v>4</v>
      </c>
      <c r="M133" s="66">
        <v>1</v>
      </c>
      <c r="N133" s="66">
        <v>1</v>
      </c>
      <c r="O133" s="66">
        <v>1</v>
      </c>
      <c r="P133" s="66">
        <v>0</v>
      </c>
      <c r="Q133" s="66">
        <v>0</v>
      </c>
      <c r="R133" s="66">
        <v>0</v>
      </c>
      <c r="S133" s="66">
        <v>0</v>
      </c>
      <c r="T133" s="67">
        <v>4178.55</v>
      </c>
      <c r="U133" s="67"/>
      <c r="V133" s="67">
        <v>4800</v>
      </c>
      <c r="W133" s="67"/>
      <c r="X133" s="68"/>
      <c r="Y133" s="68"/>
      <c r="Z133" s="69">
        <f t="shared" si="21"/>
        <v>1722.31875</v>
      </c>
      <c r="AA133" s="69">
        <f t="shared" si="22"/>
        <v>516.695625</v>
      </c>
      <c r="AB133" s="69">
        <f t="shared" si="23"/>
        <v>0</v>
      </c>
      <c r="AC133" s="69">
        <f t="shared" si="24"/>
        <v>0</v>
      </c>
      <c r="AD133" s="69">
        <f t="shared" si="25"/>
        <v>0</v>
      </c>
      <c r="AE133" s="69">
        <f t="shared" si="26"/>
        <v>0</v>
      </c>
      <c r="AF133" s="69">
        <f t="shared" si="27"/>
        <v>1205.623125</v>
      </c>
      <c r="AG133" s="36">
        <v>17.5</v>
      </c>
      <c r="AH133" s="71" t="s">
        <v>40</v>
      </c>
      <c r="AI133" s="78" t="s">
        <v>253</v>
      </c>
      <c r="AJ133" s="59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</row>
    <row r="134" spans="1:94" s="25" customFormat="1" ht="22.5" customHeight="1" thickBot="1" thickTop="1">
      <c r="A134" s="27">
        <v>95</v>
      </c>
      <c r="B134" s="56">
        <v>30</v>
      </c>
      <c r="C134" s="18">
        <v>15189</v>
      </c>
      <c r="D134" s="18" t="s">
        <v>24</v>
      </c>
      <c r="E134" s="65">
        <v>5</v>
      </c>
      <c r="F134" s="65" t="s">
        <v>106</v>
      </c>
      <c r="G134" s="56">
        <v>0</v>
      </c>
      <c r="H134" s="66">
        <v>1</v>
      </c>
      <c r="I134" s="66">
        <v>0</v>
      </c>
      <c r="J134" s="66">
        <v>1</v>
      </c>
      <c r="K134" s="56">
        <v>0</v>
      </c>
      <c r="L134" s="56">
        <v>4</v>
      </c>
      <c r="M134" s="66">
        <v>1</v>
      </c>
      <c r="N134" s="66">
        <v>1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150">
        <f>1321.03+518.4</f>
        <v>1839.4299999999998</v>
      </c>
      <c r="U134" s="67"/>
      <c r="V134" s="67">
        <f>5370+7370-T134</f>
        <v>10900.57</v>
      </c>
      <c r="W134" s="67"/>
      <c r="X134" s="67"/>
      <c r="Y134" s="67"/>
      <c r="Z134" s="69">
        <f t="shared" si="21"/>
        <v>2955.07125</v>
      </c>
      <c r="AA134" s="69">
        <f t="shared" si="22"/>
        <v>0</v>
      </c>
      <c r="AB134" s="69">
        <f t="shared" si="23"/>
        <v>0</v>
      </c>
      <c r="AC134" s="69">
        <f t="shared" si="24"/>
        <v>0</v>
      </c>
      <c r="AD134" s="69">
        <f t="shared" si="25"/>
        <v>0</v>
      </c>
      <c r="AE134" s="69">
        <f t="shared" si="26"/>
        <v>0</v>
      </c>
      <c r="AF134" s="69">
        <f t="shared" si="27"/>
        <v>2955.07125</v>
      </c>
      <c r="AG134" s="52">
        <v>18</v>
      </c>
      <c r="AH134" s="80" t="s">
        <v>25</v>
      </c>
      <c r="AI134" s="78" t="s">
        <v>253</v>
      </c>
      <c r="AJ134" s="28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</row>
    <row r="135" spans="1:93" s="25" customFormat="1" ht="22.5" customHeight="1" thickBot="1" thickTop="1">
      <c r="A135" s="27">
        <v>52</v>
      </c>
      <c r="B135" s="56">
        <v>31</v>
      </c>
      <c r="C135" s="18">
        <v>15259</v>
      </c>
      <c r="D135" s="18" t="s">
        <v>24</v>
      </c>
      <c r="E135" s="65">
        <v>5</v>
      </c>
      <c r="F135" s="65" t="s">
        <v>177</v>
      </c>
      <c r="G135" s="56">
        <v>0</v>
      </c>
      <c r="H135" s="66">
        <v>1</v>
      </c>
      <c r="I135" s="66">
        <v>0</v>
      </c>
      <c r="J135" s="66">
        <v>1</v>
      </c>
      <c r="K135" s="56">
        <v>0</v>
      </c>
      <c r="L135" s="56">
        <v>3</v>
      </c>
      <c r="M135" s="66">
        <v>1</v>
      </c>
      <c r="N135" s="66">
        <v>1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7"/>
      <c r="U135" s="67">
        <v>347.57</v>
      </c>
      <c r="V135" s="67">
        <f>2500+7520-U135</f>
        <v>9672.43</v>
      </c>
      <c r="W135" s="67"/>
      <c r="X135" s="67"/>
      <c r="Y135" s="67"/>
      <c r="Z135" s="69">
        <f t="shared" si="21"/>
        <v>3322.6214999999997</v>
      </c>
      <c r="AA135" s="69">
        <f t="shared" si="22"/>
        <v>0</v>
      </c>
      <c r="AB135" s="69">
        <f t="shared" si="23"/>
        <v>0</v>
      </c>
      <c r="AC135" s="69">
        <f t="shared" si="24"/>
        <v>0</v>
      </c>
      <c r="AD135" s="69">
        <f t="shared" si="25"/>
        <v>0</v>
      </c>
      <c r="AE135" s="69">
        <f t="shared" si="26"/>
        <v>0</v>
      </c>
      <c r="AF135" s="69">
        <f t="shared" si="27"/>
        <v>3322.6214999999997</v>
      </c>
      <c r="AG135" s="36">
        <v>18</v>
      </c>
      <c r="AH135" s="80" t="s">
        <v>73</v>
      </c>
      <c r="AI135" s="78" t="s">
        <v>253</v>
      </c>
      <c r="AJ135" s="28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</row>
    <row r="136" spans="1:93" s="44" customFormat="1" ht="19.5" thickBot="1" thickTop="1">
      <c r="A136" s="27"/>
      <c r="B136" s="56">
        <v>32</v>
      </c>
      <c r="C136" s="18">
        <v>15382</v>
      </c>
      <c r="D136" s="18" t="s">
        <v>24</v>
      </c>
      <c r="E136" s="65">
        <v>3</v>
      </c>
      <c r="F136" s="65" t="s">
        <v>112</v>
      </c>
      <c r="G136" s="66">
        <v>0</v>
      </c>
      <c r="H136" s="66">
        <v>1</v>
      </c>
      <c r="I136" s="66">
        <v>1</v>
      </c>
      <c r="J136" s="66">
        <v>1</v>
      </c>
      <c r="K136" s="56">
        <v>0</v>
      </c>
      <c r="L136" s="56">
        <v>4</v>
      </c>
      <c r="M136" s="56">
        <v>1</v>
      </c>
      <c r="N136" s="66">
        <v>1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74">
        <v>11717.18</v>
      </c>
      <c r="U136" s="74"/>
      <c r="V136" s="74">
        <f>11717.26+2500-T136</f>
        <v>2500.08</v>
      </c>
      <c r="W136" s="74"/>
      <c r="X136" s="76"/>
      <c r="Y136" s="76"/>
      <c r="Z136" s="69">
        <f t="shared" si="21"/>
        <v>2089.6675</v>
      </c>
      <c r="AA136" s="69">
        <f t="shared" si="22"/>
        <v>0</v>
      </c>
      <c r="AB136" s="69">
        <f t="shared" si="23"/>
        <v>0</v>
      </c>
      <c r="AC136" s="69">
        <f t="shared" si="24"/>
        <v>0</v>
      </c>
      <c r="AD136" s="69">
        <f t="shared" si="25"/>
        <v>0</v>
      </c>
      <c r="AE136" s="69">
        <f t="shared" si="26"/>
        <v>626.90025</v>
      </c>
      <c r="AF136" s="69">
        <f t="shared" si="27"/>
        <v>1462.7672499999999</v>
      </c>
      <c r="AG136" s="45">
        <v>19.5</v>
      </c>
      <c r="AH136" s="80" t="s">
        <v>93</v>
      </c>
      <c r="AI136" s="78" t="s">
        <v>253</v>
      </c>
      <c r="AJ136" s="19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</row>
    <row r="137" spans="1:93" s="39" customFormat="1" ht="19.5" thickBot="1" thickTop="1">
      <c r="A137" s="34"/>
      <c r="B137" s="56">
        <v>33</v>
      </c>
      <c r="C137" s="18">
        <v>15386</v>
      </c>
      <c r="D137" s="18" t="s">
        <v>24</v>
      </c>
      <c r="E137" s="65">
        <v>3</v>
      </c>
      <c r="F137" s="65" t="s">
        <v>225</v>
      </c>
      <c r="G137" s="66">
        <v>0</v>
      </c>
      <c r="H137" s="66">
        <v>1</v>
      </c>
      <c r="I137" s="66">
        <v>0</v>
      </c>
      <c r="J137" s="66">
        <v>1</v>
      </c>
      <c r="K137" s="56">
        <v>0</v>
      </c>
      <c r="L137" s="56">
        <v>4</v>
      </c>
      <c r="M137" s="56">
        <v>1</v>
      </c>
      <c r="N137" s="66">
        <v>1</v>
      </c>
      <c r="O137" s="66">
        <v>1</v>
      </c>
      <c r="P137" s="66">
        <v>0</v>
      </c>
      <c r="Q137" s="66">
        <v>0</v>
      </c>
      <c r="R137" s="66">
        <v>0</v>
      </c>
      <c r="S137" s="66">
        <v>0</v>
      </c>
      <c r="T137" s="74"/>
      <c r="U137" s="74"/>
      <c r="V137" s="74">
        <f>9500+5020</f>
        <v>14520</v>
      </c>
      <c r="W137" s="74"/>
      <c r="X137" s="76"/>
      <c r="Y137" s="76"/>
      <c r="Z137" s="69">
        <f t="shared" si="21"/>
        <v>3630</v>
      </c>
      <c r="AA137" s="69">
        <f t="shared" si="22"/>
        <v>1089</v>
      </c>
      <c r="AB137" s="69">
        <f t="shared" si="23"/>
        <v>0</v>
      </c>
      <c r="AC137" s="69">
        <f t="shared" si="24"/>
        <v>0</v>
      </c>
      <c r="AD137" s="69">
        <f t="shared" si="25"/>
        <v>0</v>
      </c>
      <c r="AE137" s="69">
        <f t="shared" si="26"/>
        <v>0</v>
      </c>
      <c r="AF137" s="69">
        <f t="shared" si="27"/>
        <v>2541</v>
      </c>
      <c r="AG137" s="45">
        <v>19.5</v>
      </c>
      <c r="AH137" s="141" t="s">
        <v>23</v>
      </c>
      <c r="AI137" s="78" t="s">
        <v>253</v>
      </c>
      <c r="AJ137" s="46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</row>
    <row r="138" spans="2:94" s="39" customFormat="1" ht="19.5" thickBot="1" thickTop="1">
      <c r="B138" s="56">
        <v>34</v>
      </c>
      <c r="C138" s="18">
        <v>15014</v>
      </c>
      <c r="D138" s="18" t="s">
        <v>21</v>
      </c>
      <c r="E138" s="65">
        <v>7</v>
      </c>
      <c r="F138" s="65" t="s">
        <v>155</v>
      </c>
      <c r="G138" s="89">
        <v>0</v>
      </c>
      <c r="H138" s="90">
        <v>1</v>
      </c>
      <c r="I138" s="90">
        <v>1</v>
      </c>
      <c r="J138" s="90">
        <v>1</v>
      </c>
      <c r="K138" s="89">
        <v>0</v>
      </c>
      <c r="L138" s="89">
        <v>3</v>
      </c>
      <c r="M138" s="90">
        <v>1</v>
      </c>
      <c r="N138" s="90">
        <v>1</v>
      </c>
      <c r="O138" s="90">
        <v>0</v>
      </c>
      <c r="P138" s="90">
        <v>0</v>
      </c>
      <c r="Q138" s="90">
        <v>0</v>
      </c>
      <c r="R138" s="90">
        <v>0</v>
      </c>
      <c r="S138" s="90">
        <v>0</v>
      </c>
      <c r="T138" s="91"/>
      <c r="U138" s="91"/>
      <c r="V138" s="155">
        <f>59797.51+4527.5</f>
        <v>64325.01</v>
      </c>
      <c r="W138" s="91"/>
      <c r="X138" s="68"/>
      <c r="Y138" s="68"/>
      <c r="Z138" s="92">
        <f t="shared" si="21"/>
        <v>21441.670000000002</v>
      </c>
      <c r="AA138" s="92">
        <f t="shared" si="22"/>
        <v>0</v>
      </c>
      <c r="AB138" s="92">
        <f t="shared" si="23"/>
        <v>0</v>
      </c>
      <c r="AC138" s="92">
        <f t="shared" si="24"/>
        <v>0</v>
      </c>
      <c r="AD138" s="92">
        <f t="shared" si="25"/>
        <v>0</v>
      </c>
      <c r="AE138" s="92">
        <f t="shared" si="26"/>
        <v>6432.501</v>
      </c>
      <c r="AF138" s="62">
        <f t="shared" si="27"/>
        <v>15009.169000000002</v>
      </c>
      <c r="AG138" s="70">
        <v>68</v>
      </c>
      <c r="AH138" s="151" t="s">
        <v>29</v>
      </c>
      <c r="AI138" s="78" t="s">
        <v>255</v>
      </c>
      <c r="AJ138" s="49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</row>
    <row r="139" ht="18.75" thickTop="1"/>
  </sheetData>
  <sheetProtection/>
  <mergeCells count="3">
    <mergeCell ref="A4:IV4"/>
    <mergeCell ref="A103:IV104"/>
    <mergeCell ref="B1:AL1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600" verticalDpi="600" orientation="landscape" paperSize="9" scale="40" r:id="rId1"/>
  <headerFooter alignWithMargins="0">
    <oddHeader>&amp;LΤΜΗΜΑ ΣΠΟΥΔΑΣΤΙΚΗΣ ΜΕΡΙΜΝΑΣ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userx</cp:lastModifiedBy>
  <cp:lastPrinted>2016-09-09T11:44:56Z</cp:lastPrinted>
  <dcterms:created xsi:type="dcterms:W3CDTF">2007-10-03T16:28:55Z</dcterms:created>
  <dcterms:modified xsi:type="dcterms:W3CDTF">2016-09-09T12:07:48Z</dcterms:modified>
  <cp:category/>
  <cp:version/>
  <cp:contentType/>
  <cp:contentStatus/>
</cp:coreProperties>
</file>