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0"/>
  </bookViews>
  <sheets>
    <sheet name="ΣΤΕΓΑΣΗ" sheetId="1" r:id="rId1"/>
  </sheets>
  <definedNames>
    <definedName name="_xlnm._FilterDatabase" localSheetId="0" hidden="1">'ΣΤΕΓΑΣΗ'!$A$3:$CO$61</definedName>
    <definedName name="_xlnm.Print_Area" localSheetId="0">'ΣΤΕΓΑΣΗ'!$B$1:$AI$93</definedName>
    <definedName name="_xlnm.Print_Titles" localSheetId="0">'ΣΤΕΓΑΣΗ'!$3:$3</definedName>
  </definedNames>
  <calcPr fullCalcOnLoad="1"/>
</workbook>
</file>

<file path=xl/sharedStrings.xml><?xml version="1.0" encoding="utf-8"?>
<sst xmlns="http://schemas.openxmlformats.org/spreadsheetml/2006/main" count="330" uniqueCount="187">
  <si>
    <t>Α/Α</t>
  </si>
  <si>
    <t>ΤΜΗΜΑ</t>
  </si>
  <si>
    <t>ΒΕΒΑΙΩΣΗ ΕΠΙΔΟΤΗΣΗΣ ΑΝΕΡΓΙΑΣ ΑΠΌ ΤΟΝ ΟΑΕΔ</t>
  </si>
  <si>
    <t>ΠΙΣΤΟΠΟΙΗΤΙΚΟ ΟΙΚΟΓΕΝΕΙΑΚΗΣ ΚΑΤΑΣΤΑΣΗΣ</t>
  </si>
  <si>
    <t>ΤΡΙΤΕΚΝΟΙ</t>
  </si>
  <si>
    <t>ΒΕΒΑΙΩΣΗ ΣΠΟΥΔΩΝ</t>
  </si>
  <si>
    <t>ΕΞΑΜΗΝΟ</t>
  </si>
  <si>
    <t>ΑΡ. ΠΡΩΤ. ΑΙΤΗΣΗΣ/ΗΜΕΡΟΜΗΝΙΑ</t>
  </si>
  <si>
    <t>ΕΚΚΑΘΑΡΙΣΤΙΚΟ ΣΗΜΕΙΩΜΑ ΤΟΥ ΤΡΕΧΟΝΤΟΣ ΕΤΟΥΣ (2012) ή Ε1 ΣΕ ΠΕΡΙΠΤΩΣΗ ΠΟΥ ΔΕΝ ΥΠΑΡΧΕΙ ΤΟ ΕΚΚΑΘ. ΓΙΑ ΤΟ ΟΙΚ.ΕΙΣΟΔΗΜΑ ΤΩΝ ΓΟΝΙΩΝ &amp; ΤΟ ΑΝΤΙΣΤΟΙΧΟ ΕΚΚ.ΣΗΜ. ΕΦΟΣΟΝ ΥΠΟΒΑΛΛΟΥΝ ΟΙ ΙΔΙΟΙ ΦΟΡ.ΔΗΛΩΣΗ</t>
  </si>
  <si>
    <t>ΦΩΤΟΤΥΠΙΑ ΑΣΤΥΝΟΜΙΚΗΣ ΤΑΥΤΟΤΗΤΑΣ ΕΠΙΚΥΡΩΜΕΝΗ ή ΠΙΣΤΟΠΟΙΗΤΙΚΟ ΓΕΝΝΗΣΗΣ ΑΠΌ ΤΟΝ ΟΙΚΕΙΟ ΔΗΜΟ</t>
  </si>
  <si>
    <t>ΠΟΛΥΤΕΚΝΟΙ (ΠΙΣΤΟΠΟΙΗΤΙΚΟ ΠΟΛΥΤΕΚΝΙΑΣ ΑΠΌ ΤΗΝ ΑΝΩΤΑΤΗ ΣΥΝΟΜΟΣΠΟΝΔΙΑ ΠΟΛΥΤΕΚΝΩΝ)</t>
  </si>
  <si>
    <t>ΑΔΕΛΦΟΣ/Η ΦΟΙΤΗΤΗΣ/ΤΡΙΑ (0 υπότροφο) ή ΣΤΡΑΤΙΩΤΗΣ, =&gt; ΒΕΒΑΙΩΣΗ ΤΜΗΜΑΤΟΣ Ή ΒΕΒ. ΌΤΙ ΥΠΗΡΕΤΕΙ ΤΗΝ ΣΤΡΑΤ.ΘΗΤΕΙΑ</t>
  </si>
  <si>
    <t>Ελεύθεροι επαγγελματίες &amp; Λοιπά εισοδήματα</t>
  </si>
  <si>
    <t>Προσωπικό Εισόδημα</t>
  </si>
  <si>
    <t>Οικογενειακό κατά κεφαλή εισόδημα</t>
  </si>
  <si>
    <t>Τελικό κατακεφαλή εισόδημα</t>
  </si>
  <si>
    <t>Ορφανός από 1 γονέα</t>
  </si>
  <si>
    <r>
      <t xml:space="preserve">ΥΠ. ΔΗΛΩΣΗ ΓΙΑ ΤΟΝ ΤΟΠΟ ΜΟΝΙΜΗΣ ΚΑΤΟΙΚΙΑΣ ΤΩΝ ΓΟΝΕΩΝ ή ΒΕΒΑΙΩΣΗ ΑΠΌ ΔΗΜΟ </t>
    </r>
    <r>
      <rPr>
        <sz val="8"/>
        <rFont val="Arial"/>
        <family val="2"/>
      </rPr>
      <t>(1 Αν κατοικεί σε &gt;50χλμ, αλλιώς 0)</t>
    </r>
    <r>
      <rPr>
        <b/>
        <sz val="8"/>
        <rFont val="Arial"/>
        <family val="2"/>
      </rPr>
      <t xml:space="preserve"> </t>
    </r>
  </si>
  <si>
    <r>
      <t xml:space="preserve">Μονογονεϊκή οικογένεια </t>
    </r>
    <r>
      <rPr>
        <sz val="8"/>
        <rFont val="Arial"/>
        <family val="2"/>
      </rPr>
      <t>(ΔΙΑΖΕΥΓΜΕΝΟΙ ΓΟΝΕΙΣ-ΔΙΚΑΣΤΙΚΗ ΑΠΟΦΑΣΗ ΠΡΟΣΔΙΟΡΙΣΜΟΥ ΤΗΣ ΕΠΙΜΕΛΕΙΑΣ ή άγαμη μητέρα αν ισχύουν δίνετε τιμή 1)</t>
    </r>
    <r>
      <rPr>
        <b/>
        <sz val="8"/>
        <rFont val="Arial"/>
        <family val="2"/>
      </rPr>
      <t xml:space="preserve"> </t>
    </r>
  </si>
  <si>
    <r>
      <t xml:space="preserve">ΛΟΓΟΙ ΥΓΕΙΑΣ Ή ΑΝΑΠΗΡΙΑΣ </t>
    </r>
    <r>
      <rPr>
        <b/>
        <sz val="8"/>
        <color indexed="10"/>
        <rFont val="Arial"/>
        <family val="2"/>
      </rPr>
      <t>Γονέων</t>
    </r>
    <r>
      <rPr>
        <b/>
        <sz val="8"/>
        <rFont val="Arial"/>
        <family val="2"/>
      </rPr>
      <t xml:space="preserve"> (ΒΕΒΑΙΩΣΗ ΑΠΌ ΑΡΜΟΔΙΑ ΔΗΜΟΣΙΑ ΥΓΕΙΟΝΟΜΙΚΗ ΕΠΙΤΡΟΠΗ (Α΄ή Β βαθμια - αν ισχύουν δίνετε τιμή 1)</t>
    </r>
  </si>
  <si>
    <r>
      <t xml:space="preserve">Εκπτώσεις από </t>
    </r>
    <r>
      <rPr>
        <b/>
        <sz val="8"/>
        <color indexed="10"/>
        <rFont val="Arial"/>
        <family val="2"/>
      </rPr>
      <t>άνεργο στο</t>
    </r>
    <r>
      <rPr>
        <b/>
        <sz val="8"/>
        <rFont val="Arial"/>
        <family val="2"/>
      </rPr>
      <t xml:space="preserve"> κατακεφαλή εισόδημα (30%)</t>
    </r>
  </si>
  <si>
    <t>ΤΕΚΜΑΡΤΟ ΕΙΣΟΔΗΜΑ</t>
  </si>
  <si>
    <t xml:space="preserve">ΣΥΝΟΛΙΚΟ ΕΙΣΟΔΗΜΑ </t>
  </si>
  <si>
    <t>Α.Μ.</t>
  </si>
  <si>
    <t>ΤΓ</t>
  </si>
  <si>
    <t>ΙΩΑΝΝΙΝΑ</t>
  </si>
  <si>
    <t>ΑΘΗΝΑ</t>
  </si>
  <si>
    <t>ΜΠ</t>
  </si>
  <si>
    <t>ΧΑΝΙΑ</t>
  </si>
  <si>
    <t>ΠΑΡΑΒΟΛΑ ΑΙΤ/ΝΙΑΣ</t>
  </si>
  <si>
    <t>ΑΜΠΕΛΕΙΑ ΙΩΑΝΝΙΝΩΝ</t>
  </si>
  <si>
    <t>ΚΟΝΙΤΣΑ</t>
  </si>
  <si>
    <t>ΠΛΑΓΙΑ ΚΟΝΙΤΣΑΣ</t>
  </si>
  <si>
    <t>ΜΕΓΑ ΔΕΡΟΙΟ ΕΒΡΟΥ</t>
  </si>
  <si>
    <t>ΑΝΑΤΟΛΗ ΙΩΑΝΝΙΝΩΝ</t>
  </si>
  <si>
    <r>
      <t xml:space="preserve">Αρ. Μελών οικογένειας </t>
    </r>
    <r>
      <rPr>
        <sz val="8"/>
        <rFont val="Arial"/>
        <family val="2"/>
      </rPr>
      <t>(Ζώντες γονείς + προστατευόμενα αδέρφια &lt;24 ή των  &lt;28 αν σπουδάζουν)</t>
    </r>
  </si>
  <si>
    <r>
      <t xml:space="preserve">Εκπτώσεις </t>
    </r>
    <r>
      <rPr>
        <b/>
        <sz val="8"/>
        <color indexed="10"/>
        <rFont val="Arial"/>
        <family val="2"/>
      </rPr>
      <t>από σπουδές ή στρατ. Θητεία Αδερφών</t>
    </r>
    <r>
      <rPr>
        <b/>
        <sz val="8"/>
        <rFont val="Arial"/>
        <family val="2"/>
      </rPr>
      <t xml:space="preserve"> στο κατακεφαλή εισόδημα (30%)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</si>
  <si>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ορφανός από 1 γονέα </t>
    </r>
    <r>
      <rPr>
        <b/>
        <sz val="8"/>
        <rFont val="Arial"/>
        <family val="2"/>
      </rPr>
      <t>στο κατακεφαλή εισόδημα (20%)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</si>
  <si>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μονογονεική </t>
    </r>
    <r>
      <rPr>
        <b/>
        <sz val="8"/>
        <rFont val="Arial"/>
        <family val="2"/>
      </rPr>
      <t>κατακεφαλή εισόδημα (10%)</t>
    </r>
  </si>
  <si>
    <r>
      <t xml:space="preserve">Εκπτώσεις από </t>
    </r>
    <r>
      <rPr>
        <b/>
        <sz val="8"/>
        <color indexed="10"/>
        <rFont val="Arial"/>
        <family val="2"/>
      </rPr>
      <t xml:space="preserve">αναπηρία γονέων &gt; 67% </t>
    </r>
    <r>
      <rPr>
        <b/>
        <sz val="8"/>
        <rFont val="Arial"/>
        <family val="2"/>
      </rPr>
      <t>στο κατακεφαλή εισόδημα (30%)</t>
    </r>
  </si>
  <si>
    <t>Εισόδημα αγροτών (ΜΕΙΩΣΗ 15%)</t>
  </si>
  <si>
    <t>ΧΑΝΑΚΙΑ ΠΥΡΓΟΥ ΗΛΙΑΣ</t>
  </si>
  <si>
    <t xml:space="preserve">ΑΡΓΟΣ </t>
  </si>
  <si>
    <t>ΚΡΑΝΟΥΛΑ ΙΩΑΝΝΙΝΩΝ</t>
  </si>
  <si>
    <t>ΝΙΚΑΙΑ</t>
  </si>
  <si>
    <t>ΑΜΟΡΓΟΣ</t>
  </si>
  <si>
    <t>ΚΑΡΔΙΤΣΑ</t>
  </si>
  <si>
    <t>ΤΡΙΚΑΛΑ</t>
  </si>
  <si>
    <t>ΚΑΒΑΛΑ</t>
  </si>
  <si>
    <t>ΠΡΕΒΕΖΑ</t>
  </si>
  <si>
    <t>I1388</t>
  </si>
  <si>
    <t>Διδακτικές μονάδες που έχει συμπληρώσει ή ποσοστό μαθημάτων</t>
  </si>
  <si>
    <t>Ι1367</t>
  </si>
  <si>
    <t>ΚΟΜΟΤΗΝΗ</t>
  </si>
  <si>
    <t>ΡΑΧΟΥΛΑ ΚΑΡΔΙΤΣΑΣ</t>
  </si>
  <si>
    <t>ΛΥΚΟΒΡΥΣΗ ΠΕΥΚΗΣ (ΑΜΑΡΟΥΣΙΟΥ)</t>
  </si>
  <si>
    <t>ΑΙΤΩΛΙΚΟ</t>
  </si>
  <si>
    <t>ΚΑΤΣΙΚΑ ΙΩΑΝΝΙΝΩΝ</t>
  </si>
  <si>
    <t>ΚΑΛΛΙΘΕΑ ΑΤΤΙΚΗ</t>
  </si>
  <si>
    <t>ΠΑΝΑΙΤΩΛΙΟ ΑΙΤ/ΝΙΑΣ</t>
  </si>
  <si>
    <t>ΔΟΛΙΑΝΑ ΙΩΑΝΝΙΝΩΝ</t>
  </si>
  <si>
    <t>ΑΒΓΟ ΙΩΑΝΝΙΝΩΝ</t>
  </si>
  <si>
    <t>ΜΥΤΙΛΗΝΗ</t>
  </si>
  <si>
    <t>ΑΛΒΑΝΙΑ</t>
  </si>
  <si>
    <t>ΚΕΦΑΛΟΝΙΑ</t>
  </si>
  <si>
    <t>Εισόδημα από Μισθωτές Υπηρεσίες Γονέων (Δημόσιο και ιδιωτικό τομέα και συνταξιούχων &amp; ταμείο ανεργίας) (ΜEIΩΣΗ 50%)</t>
  </si>
  <si>
    <t>ΑΓΙΟ ΠΝΕΥΜΑ ΣΕΡΡΩΝ</t>
  </si>
  <si>
    <t>ΑΓΙΟΣ ΟΝΟΥΦΡΙΟΣ ΒΟΛΟΣ</t>
  </si>
  <si>
    <t>ΠΛΑΤΥ ΗΜΑΘΕΙΑΣ</t>
  </si>
  <si>
    <t>ΛΕΥΚΑΔΑ</t>
  </si>
  <si>
    <t>ΑΝΩ ΚΑΛΕΝΤΙΝΗ ΑΡΤΑΣ</t>
  </si>
  <si>
    <t>ΜΑΖΙ ΚΟΝΙΤΣΑΣ ΙΩΑΝΝΙΝΩΝ</t>
  </si>
  <si>
    <t>ΚΑΤΟΥΝΑ</t>
  </si>
  <si>
    <t>ΚΙΛΚΙΣ</t>
  </si>
  <si>
    <t>ΜΑΡΟΥΣΙ</t>
  </si>
  <si>
    <t>ΛΑΜΙΑ</t>
  </si>
  <si>
    <t>ΠΟΛΥΛΟΦΟΣ ΙΩΑΝΝΙΝΑ</t>
  </si>
  <si>
    <t>ΜΕΛΙΣΣΙΑ ΑΤΤΙΚΗ</t>
  </si>
  <si>
    <t>ΚΕΑ ΚΥΚΛΑΔΕΣ</t>
  </si>
  <si>
    <t>Ν. ΜΑΚΡΗ ΑΤΤΙΚΗΣ</t>
  </si>
  <si>
    <t>530/03.07.15</t>
  </si>
  <si>
    <t>527/03.07.15</t>
  </si>
  <si>
    <t>581/20.07.15</t>
  </si>
  <si>
    <t>587/20.07.15</t>
  </si>
  <si>
    <t>580/20.07.15</t>
  </si>
  <si>
    <t>ΜΑΖΑΡΑΚΑΤΑ ΚΕΦΑΛΟΝΑΙΣ</t>
  </si>
  <si>
    <t>579/20.07.15</t>
  </si>
  <si>
    <t>ΚΟΡΩΝΟΠΟΥΛΟ ΚΑΝΑΛΛΑΚΙ</t>
  </si>
  <si>
    <t>250/16.06.15</t>
  </si>
  <si>
    <t>ΑΛΙΜΟΣ ΑΘΗΝΑ</t>
  </si>
  <si>
    <t>594/20.07.15</t>
  </si>
  <si>
    <t>578/17.07.15</t>
  </si>
  <si>
    <t>593/20.07.15</t>
  </si>
  <si>
    <t>592/20.07.15</t>
  </si>
  <si>
    <t>591/20.07.15</t>
  </si>
  <si>
    <t>483/01.07.15</t>
  </si>
  <si>
    <t>282/26.06.15</t>
  </si>
  <si>
    <t>508/02.07.15</t>
  </si>
  <si>
    <t>570/17.07.15</t>
  </si>
  <si>
    <t>467/29.06.15</t>
  </si>
  <si>
    <t>596/20.07.15</t>
  </si>
  <si>
    <t>479/01.07.15</t>
  </si>
  <si>
    <t>489/01.07.15</t>
  </si>
  <si>
    <t>573/17.07.15</t>
  </si>
  <si>
    <t>599/20.07.15</t>
  </si>
  <si>
    <t>598/20.07.15</t>
  </si>
  <si>
    <t>279/25.06.15</t>
  </si>
  <si>
    <t>280/25.06.15</t>
  </si>
  <si>
    <t>540/13.07.15</t>
  </si>
  <si>
    <t>504/02.07.15</t>
  </si>
  <si>
    <t>515/03.07.15</t>
  </si>
  <si>
    <t>568/17.07.15</t>
  </si>
  <si>
    <t>473/30.06.15</t>
  </si>
  <si>
    <t>485/01.07.15</t>
  </si>
  <si>
    <t>493/01.07.15</t>
  </si>
  <si>
    <t>575/17.07.15</t>
  </si>
  <si>
    <t>472/30.06.15</t>
  </si>
  <si>
    <t>478/01.07.15</t>
  </si>
  <si>
    <t>566/17.07.15</t>
  </si>
  <si>
    <t>577/17.07.15</t>
  </si>
  <si>
    <t>484/01.07.15</t>
  </si>
  <si>
    <t>269/23.06.15</t>
  </si>
  <si>
    <t>460/29.06.15</t>
  </si>
  <si>
    <t>574/17.07.15</t>
  </si>
  <si>
    <t>554/16.07.15</t>
  </si>
  <si>
    <t>588/20.07.15</t>
  </si>
  <si>
    <t>549/15.07.15</t>
  </si>
  <si>
    <t>281/25.6.15</t>
  </si>
  <si>
    <t>616/23.07.15</t>
  </si>
  <si>
    <t>519/03.07.15</t>
  </si>
  <si>
    <t>601/20.07.15</t>
  </si>
  <si>
    <t>552/15.07.15</t>
  </si>
  <si>
    <t>516/03.07.15</t>
  </si>
  <si>
    <t>I1414</t>
  </si>
  <si>
    <t>520/03.07.15</t>
  </si>
  <si>
    <t>565/17.07.15</t>
  </si>
  <si>
    <t>ΠΤΟΛΕΜΑΪΔΑ</t>
  </si>
  <si>
    <t>455/26.06.15</t>
  </si>
  <si>
    <t>284/25.06.15</t>
  </si>
  <si>
    <t>ΚΑΡΑΤΟΥΛΑ ΗΛΕΙΑΣ</t>
  </si>
  <si>
    <t>458/29.06.15</t>
  </si>
  <si>
    <t>496/01.07.15</t>
  </si>
  <si>
    <t>273/24.06.15</t>
  </si>
  <si>
    <t>545/14.07.15</t>
  </si>
  <si>
    <t>ΦΩΚΙΔΑ</t>
  </si>
  <si>
    <t>474/30.06.15</t>
  </si>
  <si>
    <t>572/17.07.15</t>
  </si>
  <si>
    <t>ΠΑΡΑΒΟΛΑ ΑΓΡΙΝΙΟΥ</t>
  </si>
  <si>
    <t>569/17.07.15</t>
  </si>
  <si>
    <t>263/19.06.15</t>
  </si>
  <si>
    <t>249/16.06.15</t>
  </si>
  <si>
    <t>ΜΑΝΤΟΥΔΙ ΕΥΒΟΙΑΣ</t>
  </si>
  <si>
    <t>251/16.06.15</t>
  </si>
  <si>
    <t>456/26.06.15</t>
  </si>
  <si>
    <t>564/17.07.15</t>
  </si>
  <si>
    <t>567/17.07.15</t>
  </si>
  <si>
    <t>495/01.07.15</t>
  </si>
  <si>
    <t>275/24.06.15</t>
  </si>
  <si>
    <t>505/02.07.15</t>
  </si>
  <si>
    <t>499/02.07.15</t>
  </si>
  <si>
    <t>511/03.07.15</t>
  </si>
  <si>
    <t>ΓΑΒΑΛΟΥ ΑΙΤ/ΝΙΑΣ</t>
  </si>
  <si>
    <t>468/29.06.15</t>
  </si>
  <si>
    <t>ΑΡΓΟΣΤΟΛΙ</t>
  </si>
  <si>
    <t>551/15.07.15</t>
  </si>
  <si>
    <t>268/23.06.15</t>
  </si>
  <si>
    <t>272/24.06.15</t>
  </si>
  <si>
    <t>571/17.07.15</t>
  </si>
  <si>
    <t>277/24.06.15</t>
  </si>
  <si>
    <t>270/23.06.15</t>
  </si>
  <si>
    <t>491/01.07.15</t>
  </si>
  <si>
    <t>ΛΙΒΑΔΕΙΑ</t>
  </si>
  <si>
    <t>512/03.07.15</t>
  </si>
  <si>
    <t>514/03.07.15</t>
  </si>
  <si>
    <t>ΠΥΡΓΟΣ ΣΑΜΟΥ</t>
  </si>
  <si>
    <t>528/06.07.15</t>
  </si>
  <si>
    <t>555/16.07.15</t>
  </si>
  <si>
    <t>603/20.07.15</t>
  </si>
  <si>
    <t>ΠΟΛΥΓΥΡΟΣ ΙΩΑΝΝΙΝΑ</t>
  </si>
  <si>
    <t>604/20.07.15</t>
  </si>
  <si>
    <t>ΚΟΝΙΤΣΑ ΙΩΑΝΝΙΝΩΝ</t>
  </si>
  <si>
    <t>αππορρίπτεται λόγω χαμηλής βαθμολογίας</t>
  </si>
  <si>
    <t>605/20.07.15</t>
  </si>
  <si>
    <t>ΚΑΤΑΣΤΑΣΗ ΣΤΕΓΑΣΗΣ Φοιτητών  ΠΑΛΑΙΩΝ Εξ. ΤΜΗΜΑΤΩΝ Μ.Π. και Τ.Γ. ΤΕΙ ΗΠΕΙΡΟΥ ΣΤΗΝ ΑΡΤΑ ΑΚΑΔΗΜΑΪΚΟΥ ΕΤΟΥΣ 2014-2015 (κατά κεφαλή εισόδημα)</t>
  </si>
  <si>
    <t>ΑΠΟΡΡΙΦΘΕΝΤΕΣ</t>
  </si>
  <si>
    <t xml:space="preserve">αππορρίπτεται λόγω ελλιπής αίτησης, δεν έχει προσκομίσει πρόσφατο εκκαθαριστικό, και λόγω οικονομικών υποχρεώσεων προς το ΤΕΙ </t>
  </si>
  <si>
    <t>---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</si>
</sst>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"/>
    <numFmt numFmtId="166" formatCode="#,##0.000"/>
    <numFmt numFmtId="167" formatCode="#,##0.0"/>
    <numFmt numFmtId="168" formatCode="0.000"/>
    <numFmt numFmtId="169" formatCode="0.0000"/>
    <numFmt numFmtId="170" formatCode="[$-408]dddd\,\ d\ mmmm\ yyyy"/>
    <numFmt numFmtId="171" formatCode="0.000%"/>
    <numFmt numFmtId="172" formatCode="0.0%"/>
    <numFmt numFmtId="173" formatCode="[$-408]h:mm:ss\ AM/PM"/>
    <numFmt numFmtId="174" formatCode="0.0"/>
  </numFmts>
  <fonts count="7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49"/>
      <name val="Arial"/>
      <family val="2"/>
    </font>
    <font>
      <b/>
      <sz val="8"/>
      <color indexed="10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60"/>
      <name val="Arial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rgb="FF00B050"/>
      <name val="Arial"/>
      <family val="2"/>
    </font>
    <font>
      <sz val="14"/>
      <color rgb="FF00B05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0" borderId="2" applyNumberFormat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7" borderId="1" applyNumberFormat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textRotation="90" wrapText="1"/>
    </xf>
    <xf numFmtId="0" fontId="10" fillId="32" borderId="11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textRotation="90"/>
    </xf>
    <xf numFmtId="0" fontId="5" fillId="32" borderId="11" xfId="0" applyFont="1" applyFill="1" applyBorder="1" applyAlignment="1">
      <alignment horizontal="center" vertical="center" textRotation="90" wrapText="1"/>
    </xf>
    <xf numFmtId="0" fontId="8" fillId="32" borderId="12" xfId="0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9" fillId="33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textRotation="90" wrapText="1"/>
    </xf>
    <xf numFmtId="0" fontId="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right" wrapText="1"/>
    </xf>
    <xf numFmtId="165" fontId="7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164" fontId="12" fillId="0" borderId="11" xfId="0" applyNumberFormat="1" applyFont="1" applyFill="1" applyBorder="1" applyAlignment="1">
      <alignment wrapText="1"/>
    </xf>
    <xf numFmtId="0" fontId="8" fillId="34" borderId="11" xfId="0" applyFont="1" applyFill="1" applyBorder="1" applyAlignment="1">
      <alignment horizontal="center" vertical="center" textRotation="90" wrapText="1"/>
    </xf>
    <xf numFmtId="2" fontId="7" fillId="0" borderId="11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32" borderId="11" xfId="0" applyFont="1" applyFill="1" applyBorder="1" applyAlignment="1">
      <alignment horizontal="right" vertical="center"/>
    </xf>
    <xf numFmtId="0" fontId="62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35" borderId="1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10" xfId="0" applyFont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right"/>
    </xf>
    <xf numFmtId="0" fontId="65" fillId="0" borderId="11" xfId="0" applyFont="1" applyFill="1" applyBorder="1" applyAlignment="1">
      <alignment wrapText="1"/>
    </xf>
    <xf numFmtId="165" fontId="65" fillId="0" borderId="11" xfId="0" applyNumberFormat="1" applyFont="1" applyFill="1" applyBorder="1" applyAlignment="1">
      <alignment wrapText="1"/>
    </xf>
    <xf numFmtId="2" fontId="65" fillId="0" borderId="11" xfId="0" applyNumberFormat="1" applyFont="1" applyFill="1" applyBorder="1" applyAlignment="1">
      <alignment wrapText="1"/>
    </xf>
    <xf numFmtId="164" fontId="65" fillId="0" borderId="11" xfId="0" applyNumberFormat="1" applyFont="1" applyFill="1" applyBorder="1" applyAlignment="1">
      <alignment wrapText="1"/>
    </xf>
    <xf numFmtId="0" fontId="64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1" xfId="0" applyFont="1" applyFill="1" applyBorder="1" applyAlignment="1">
      <alignment wrapText="1"/>
    </xf>
    <xf numFmtId="0" fontId="67" fillId="0" borderId="11" xfId="0" applyFont="1" applyFill="1" applyBorder="1" applyAlignment="1">
      <alignment horizontal="center" wrapText="1"/>
    </xf>
    <xf numFmtId="165" fontId="67" fillId="0" borderId="11" xfId="0" applyNumberFormat="1" applyFont="1" applyFill="1" applyBorder="1" applyAlignment="1">
      <alignment wrapText="1"/>
    </xf>
    <xf numFmtId="165" fontId="67" fillId="34" borderId="11" xfId="0" applyNumberFormat="1" applyFont="1" applyFill="1" applyBorder="1" applyAlignment="1">
      <alignment wrapText="1"/>
    </xf>
    <xf numFmtId="2" fontId="67" fillId="0" borderId="11" xfId="0" applyNumberFormat="1" applyFont="1" applyFill="1" applyBorder="1" applyAlignment="1">
      <alignment wrapText="1"/>
    </xf>
    <xf numFmtId="164" fontId="67" fillId="0" borderId="11" xfId="0" applyNumberFormat="1" applyFont="1" applyFill="1" applyBorder="1" applyAlignment="1">
      <alignment wrapText="1"/>
    </xf>
    <xf numFmtId="164" fontId="68" fillId="0" borderId="11" xfId="0" applyNumberFormat="1" applyFont="1" applyFill="1" applyBorder="1" applyAlignment="1">
      <alignment wrapText="1"/>
    </xf>
    <xf numFmtId="174" fontId="65" fillId="0" borderId="11" xfId="0" applyNumberFormat="1" applyFont="1" applyFill="1" applyBorder="1" applyAlignment="1">
      <alignment horizontal="right" wrapText="1"/>
    </xf>
    <xf numFmtId="174" fontId="67" fillId="0" borderId="11" xfId="0" applyNumberFormat="1" applyFont="1" applyFill="1" applyBorder="1" applyAlignment="1">
      <alignment horizontal="right" wrapText="1"/>
    </xf>
    <xf numFmtId="174" fontId="7" fillId="0" borderId="11" xfId="0" applyNumberFormat="1" applyFont="1" applyFill="1" applyBorder="1" applyAlignment="1">
      <alignment horizontal="right" wrapText="1"/>
    </xf>
    <xf numFmtId="0" fontId="65" fillId="0" borderId="11" xfId="0" applyFont="1" applyFill="1" applyBorder="1" applyAlignment="1">
      <alignment horizontal="right" wrapText="1"/>
    </xf>
    <xf numFmtId="0" fontId="65" fillId="0" borderId="11" xfId="0" applyFont="1" applyFill="1" applyBorder="1" applyAlignment="1">
      <alignment horizontal="center" wrapText="1"/>
    </xf>
    <xf numFmtId="165" fontId="65" fillId="34" borderId="11" xfId="0" applyNumberFormat="1" applyFont="1" applyFill="1" applyBorder="1" applyAlignment="1">
      <alignment wrapText="1"/>
    </xf>
    <xf numFmtId="174" fontId="65" fillId="0" borderId="11" xfId="0" applyNumberFormat="1" applyFont="1" applyBorder="1" applyAlignment="1">
      <alignment horizontal="right"/>
    </xf>
    <xf numFmtId="164" fontId="69" fillId="0" borderId="11" xfId="0" applyNumberFormat="1" applyFont="1" applyFill="1" applyBorder="1" applyAlignment="1">
      <alignment wrapText="1"/>
    </xf>
    <xf numFmtId="164" fontId="70" fillId="0" borderId="11" xfId="0" applyNumberFormat="1" applyFont="1" applyFill="1" applyBorder="1" applyAlignment="1">
      <alignment wrapText="1"/>
    </xf>
    <xf numFmtId="0" fontId="65" fillId="0" borderId="11" xfId="0" applyFont="1" applyBorder="1" applyAlignment="1">
      <alignment wrapText="1"/>
    </xf>
    <xf numFmtId="0" fontId="65" fillId="0" borderId="11" xfId="0" applyFont="1" applyBorder="1" applyAlignment="1">
      <alignment horizontal="center" wrapText="1"/>
    </xf>
    <xf numFmtId="165" fontId="65" fillId="0" borderId="11" xfId="0" applyNumberFormat="1" applyFont="1" applyBorder="1" applyAlignment="1">
      <alignment wrapText="1"/>
    </xf>
    <xf numFmtId="2" fontId="65" fillId="0" borderId="11" xfId="0" applyNumberFormat="1" applyFont="1" applyBorder="1" applyAlignment="1">
      <alignment wrapText="1"/>
    </xf>
    <xf numFmtId="4" fontId="65" fillId="0" borderId="11" xfId="0" applyNumberFormat="1" applyFont="1" applyBorder="1" applyAlignment="1">
      <alignment/>
    </xf>
    <xf numFmtId="3" fontId="65" fillId="0" borderId="11" xfId="0" applyNumberFormat="1" applyFont="1" applyBorder="1" applyAlignment="1">
      <alignment/>
    </xf>
    <xf numFmtId="0" fontId="65" fillId="0" borderId="11" xfId="0" applyFont="1" applyBorder="1" applyAlignment="1">
      <alignment/>
    </xf>
    <xf numFmtId="0" fontId="64" fillId="35" borderId="10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165" fontId="65" fillId="0" borderId="11" xfId="0" applyNumberFormat="1" applyFont="1" applyFill="1" applyBorder="1" applyAlignment="1">
      <alignment horizontal="right" wrapText="1"/>
    </xf>
    <xf numFmtId="174" fontId="65" fillId="0" borderId="11" xfId="0" applyNumberFormat="1" applyFont="1" applyFill="1" applyBorder="1" applyAlignment="1">
      <alignment horizontal="right"/>
    </xf>
    <xf numFmtId="165" fontId="65" fillId="34" borderId="11" xfId="0" applyNumberFormat="1" applyFont="1" applyFill="1" applyBorder="1" applyAlignment="1">
      <alignment horizontal="right" wrapText="1"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right"/>
    </xf>
    <xf numFmtId="164" fontId="71" fillId="0" borderId="11" xfId="0" applyNumberFormat="1" applyFont="1" applyFill="1" applyBorder="1" applyAlignment="1">
      <alignment wrapText="1"/>
    </xf>
    <xf numFmtId="0" fontId="65" fillId="0" borderId="11" xfId="0" applyFont="1" applyBorder="1" applyAlignment="1">
      <alignment horizontal="right" wrapText="1"/>
    </xf>
    <xf numFmtId="165" fontId="65" fillId="0" borderId="11" xfId="0" applyNumberFormat="1" applyFont="1" applyBorder="1" applyAlignment="1">
      <alignment horizontal="right" wrapText="1"/>
    </xf>
    <xf numFmtId="0" fontId="65" fillId="0" borderId="11" xfId="0" applyFont="1" applyFill="1" applyBorder="1" applyAlignment="1">
      <alignment/>
    </xf>
    <xf numFmtId="164" fontId="72" fillId="0" borderId="11" xfId="0" applyNumberFormat="1" applyFont="1" applyFill="1" applyBorder="1" applyAlignment="1">
      <alignment wrapText="1"/>
    </xf>
    <xf numFmtId="3" fontId="65" fillId="0" borderId="11" xfId="0" applyNumberFormat="1" applyFont="1" applyFill="1" applyBorder="1" applyAlignment="1">
      <alignment wrapText="1"/>
    </xf>
    <xf numFmtId="4" fontId="69" fillId="0" borderId="11" xfId="0" applyNumberFormat="1" applyFont="1" applyFill="1" applyBorder="1" applyAlignment="1">
      <alignment/>
    </xf>
    <xf numFmtId="0" fontId="69" fillId="0" borderId="11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174" fontId="7" fillId="0" borderId="11" xfId="0" applyNumberFormat="1" applyFont="1" applyFill="1" applyBorder="1" applyAlignment="1">
      <alignment horizontal="right"/>
    </xf>
    <xf numFmtId="164" fontId="13" fillId="0" borderId="11" xfId="0" applyNumberFormat="1" applyFont="1" applyFill="1" applyBorder="1" applyAlignment="1">
      <alignment wrapText="1"/>
    </xf>
    <xf numFmtId="164" fontId="7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8" fillId="0" borderId="11" xfId="0" applyNumberFormat="1" applyFont="1" applyFill="1" applyBorder="1" applyAlignment="1">
      <alignment wrapText="1"/>
    </xf>
    <xf numFmtId="0" fontId="7" fillId="0" borderId="11" xfId="0" applyFont="1" applyBorder="1" applyAlignment="1">
      <alignment/>
    </xf>
    <xf numFmtId="165" fontId="7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13" fillId="0" borderId="11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/>
    </xf>
    <xf numFmtId="0" fontId="5" fillId="1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10" borderId="0" xfId="0" applyFont="1" applyFill="1" applyAlignment="1">
      <alignment/>
    </xf>
    <xf numFmtId="0" fontId="4" fillId="10" borderId="0" xfId="0" applyFont="1" applyFill="1" applyAlignment="1">
      <alignment/>
    </xf>
    <xf numFmtId="165" fontId="7" fillId="34" borderId="11" xfId="0" applyNumberFormat="1" applyFont="1" applyFill="1" applyBorder="1" applyAlignment="1">
      <alignment wrapText="1"/>
    </xf>
    <xf numFmtId="174" fontId="7" fillId="0" borderId="11" xfId="0" applyNumberFormat="1" applyFont="1" applyBorder="1" applyAlignment="1">
      <alignment horizontal="right"/>
    </xf>
    <xf numFmtId="164" fontId="13" fillId="0" borderId="11" xfId="0" applyNumberFormat="1" applyFont="1" applyFill="1" applyBorder="1" applyAlignment="1">
      <alignment/>
    </xf>
    <xf numFmtId="165" fontId="7" fillId="34" borderId="11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164" fontId="14" fillId="0" borderId="11" xfId="0" applyNumberFormat="1" applyFont="1" applyFill="1" applyBorder="1" applyAlignment="1">
      <alignment wrapText="1"/>
    </xf>
    <xf numFmtId="0" fontId="7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horizontal="right"/>
    </xf>
    <xf numFmtId="165" fontId="7" fillId="0" borderId="11" xfId="0" applyNumberFormat="1" applyFont="1" applyBorder="1" applyAlignment="1">
      <alignment horizontal="right" wrapText="1"/>
    </xf>
    <xf numFmtId="2" fontId="7" fillId="0" borderId="11" xfId="0" applyNumberFormat="1" applyFont="1" applyBorder="1" applyAlignment="1">
      <alignment wrapText="1"/>
    </xf>
    <xf numFmtId="4" fontId="7" fillId="0" borderId="11" xfId="0" applyNumberFormat="1" applyFont="1" applyBorder="1" applyAlignment="1">
      <alignment/>
    </xf>
    <xf numFmtId="4" fontId="13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4" fontId="15" fillId="0" borderId="11" xfId="0" applyNumberFormat="1" applyFont="1" applyFill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165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4" fontId="13" fillId="0" borderId="11" xfId="0" applyNumberFormat="1" applyFont="1" applyBorder="1" applyAlignment="1">
      <alignment/>
    </xf>
    <xf numFmtId="164" fontId="15" fillId="0" borderId="11" xfId="0" applyNumberFormat="1" applyFont="1" applyFill="1" applyBorder="1" applyAlignment="1">
      <alignment wrapText="1"/>
    </xf>
    <xf numFmtId="4" fontId="7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right" wrapText="1"/>
    </xf>
    <xf numFmtId="0" fontId="65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wrapText="1"/>
    </xf>
    <xf numFmtId="165" fontId="65" fillId="0" borderId="0" xfId="0" applyNumberFormat="1" applyFont="1" applyFill="1" applyBorder="1" applyAlignment="1">
      <alignment wrapText="1"/>
    </xf>
    <xf numFmtId="2" fontId="65" fillId="0" borderId="0" xfId="0" applyNumberFormat="1" applyFont="1" applyFill="1" applyBorder="1" applyAlignment="1">
      <alignment wrapText="1"/>
    </xf>
    <xf numFmtId="174" fontId="65" fillId="0" borderId="0" xfId="0" applyNumberFormat="1" applyFont="1" applyFill="1" applyBorder="1" applyAlignment="1">
      <alignment horizontal="right" wrapText="1"/>
    </xf>
    <xf numFmtId="164" fontId="65" fillId="0" borderId="0" xfId="0" applyNumberFormat="1" applyFont="1" applyFill="1" applyBorder="1" applyAlignment="1">
      <alignment wrapText="1"/>
    </xf>
    <xf numFmtId="164" fontId="70" fillId="0" borderId="0" xfId="0" applyNumberFormat="1" applyFont="1" applyFill="1" applyBorder="1" applyAlignment="1">
      <alignment wrapText="1"/>
    </xf>
    <xf numFmtId="0" fontId="16" fillId="0" borderId="0" xfId="0" applyFont="1" applyAlignment="1">
      <alignment/>
    </xf>
    <xf numFmtId="2" fontId="67" fillId="0" borderId="11" xfId="0" applyNumberFormat="1" applyFont="1" applyFill="1" applyBorder="1" applyAlignment="1" quotePrefix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93"/>
  <sheetViews>
    <sheetView tabSelected="1" view="pageBreakPreview" zoomScaleNormal="75" zoomScaleSheetLayoutView="100" zoomScalePageLayoutView="0" workbookViewId="0" topLeftCell="B1">
      <pane ySplit="3" topLeftCell="A9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1" width="6.28125" style="1" hidden="1" customWidth="1"/>
    <col min="2" max="2" width="6.00390625" style="13" customWidth="1"/>
    <col min="3" max="3" width="9.28125" style="2" bestFit="1" customWidth="1"/>
    <col min="4" max="4" width="4.8515625" style="2" customWidth="1"/>
    <col min="5" max="5" width="5.57421875" style="2" customWidth="1"/>
    <col min="6" max="6" width="17.57421875" style="2" customWidth="1"/>
    <col min="7" max="19" width="5.421875" style="2" customWidth="1"/>
    <col min="20" max="22" width="13.421875" style="2" customWidth="1"/>
    <col min="23" max="23" width="15.7109375" style="2" customWidth="1"/>
    <col min="24" max="24" width="0.13671875" style="2" hidden="1" customWidth="1"/>
    <col min="25" max="25" width="2.140625" style="2" hidden="1" customWidth="1"/>
    <col min="26" max="26" width="16.00390625" style="2" customWidth="1"/>
    <col min="27" max="32" width="13.421875" style="2" customWidth="1"/>
    <col min="33" max="33" width="12.8515625" style="2" customWidth="1"/>
    <col min="34" max="34" width="19.421875" style="2" bestFit="1" customWidth="1"/>
    <col min="35" max="35" width="15.8515625" style="2" bestFit="1" customWidth="1"/>
    <col min="36" max="91" width="9.140625" style="3" customWidth="1"/>
    <col min="92" max="92" width="9.28125" style="3" bestFit="1" customWidth="1"/>
    <col min="93" max="93" width="9.140625" style="3" customWidth="1"/>
    <col min="94" max="94" width="9.28125" style="1" bestFit="1" customWidth="1"/>
    <col min="95" max="95" width="9.140625" style="1" customWidth="1"/>
    <col min="96" max="96" width="9.28125" style="1" bestFit="1" customWidth="1"/>
    <col min="97" max="97" width="9.140625" style="1" customWidth="1"/>
    <col min="98" max="110" width="9.28125" style="1" bestFit="1" customWidth="1"/>
    <col min="111" max="111" width="16.140625" style="1" bestFit="1" customWidth="1"/>
    <col min="112" max="112" width="9.140625" style="1" customWidth="1"/>
    <col min="113" max="113" width="12.140625" style="1" bestFit="1" customWidth="1"/>
    <col min="114" max="114" width="9.140625" style="1" customWidth="1"/>
    <col min="115" max="121" width="9.28125" style="1" bestFit="1" customWidth="1"/>
    <col min="122" max="184" width="9.140625" style="1" customWidth="1"/>
    <col min="185" max="185" width="9.28125" style="1" bestFit="1" customWidth="1"/>
    <col min="186" max="186" width="9.140625" style="1" customWidth="1"/>
    <col min="187" max="187" width="9.28125" style="1" bestFit="1" customWidth="1"/>
    <col min="188" max="188" width="9.140625" style="1" customWidth="1"/>
    <col min="189" max="189" width="9.28125" style="1" bestFit="1" customWidth="1"/>
    <col min="190" max="190" width="9.140625" style="1" customWidth="1"/>
    <col min="191" max="203" width="9.28125" style="1" bestFit="1" customWidth="1"/>
    <col min="204" max="204" width="14.57421875" style="1" bestFit="1" customWidth="1"/>
    <col min="205" max="205" width="9.140625" style="1" customWidth="1"/>
    <col min="206" max="206" width="12.140625" style="1" bestFit="1" customWidth="1"/>
    <col min="207" max="207" width="9.140625" style="1" customWidth="1"/>
    <col min="208" max="214" width="9.28125" style="1" bestFit="1" customWidth="1"/>
    <col min="215" max="16384" width="9.140625" style="1" customWidth="1"/>
  </cols>
  <sheetData>
    <row r="1" spans="2:93" s="4" customFormat="1" ht="27.75">
      <c r="B1" s="125" t="s">
        <v>183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3:33" ht="6.75" customHeight="1" thickBot="1">
      <c r="C2" s="27"/>
      <c r="AG2" s="16"/>
    </row>
    <row r="3" spans="1:35" ht="197.25" customHeight="1" thickBot="1" thickTop="1">
      <c r="A3" s="5" t="s">
        <v>0</v>
      </c>
      <c r="B3" s="28" t="s">
        <v>0</v>
      </c>
      <c r="C3" s="6" t="s">
        <v>23</v>
      </c>
      <c r="D3" s="9" t="s">
        <v>1</v>
      </c>
      <c r="E3" s="9" t="s">
        <v>6</v>
      </c>
      <c r="F3" s="10" t="s">
        <v>7</v>
      </c>
      <c r="G3" s="7" t="s">
        <v>5</v>
      </c>
      <c r="H3" s="7" t="s">
        <v>8</v>
      </c>
      <c r="I3" s="7" t="s">
        <v>2</v>
      </c>
      <c r="J3" s="7" t="s">
        <v>3</v>
      </c>
      <c r="K3" s="7" t="s">
        <v>16</v>
      </c>
      <c r="L3" s="7" t="s">
        <v>35</v>
      </c>
      <c r="M3" s="7" t="s">
        <v>17</v>
      </c>
      <c r="N3" s="7" t="s">
        <v>9</v>
      </c>
      <c r="O3" s="7" t="s">
        <v>11</v>
      </c>
      <c r="P3" s="7" t="s">
        <v>10</v>
      </c>
      <c r="Q3" s="8" t="s">
        <v>4</v>
      </c>
      <c r="R3" s="7" t="s">
        <v>18</v>
      </c>
      <c r="S3" s="7" t="s">
        <v>19</v>
      </c>
      <c r="T3" s="7" t="s">
        <v>65</v>
      </c>
      <c r="U3" s="7" t="s">
        <v>40</v>
      </c>
      <c r="V3" s="7" t="s">
        <v>12</v>
      </c>
      <c r="W3" s="7" t="s">
        <v>13</v>
      </c>
      <c r="X3" s="25" t="s">
        <v>22</v>
      </c>
      <c r="Y3" s="25" t="s">
        <v>21</v>
      </c>
      <c r="Z3" s="7" t="s">
        <v>14</v>
      </c>
      <c r="AA3" s="7" t="s">
        <v>36</v>
      </c>
      <c r="AB3" s="7" t="s">
        <v>37</v>
      </c>
      <c r="AC3" s="7" t="s">
        <v>38</v>
      </c>
      <c r="AD3" s="7" t="s">
        <v>39</v>
      </c>
      <c r="AE3" s="7" t="s">
        <v>20</v>
      </c>
      <c r="AF3" s="11" t="s">
        <v>15</v>
      </c>
      <c r="AG3" s="18" t="s">
        <v>51</v>
      </c>
      <c r="AH3" s="17"/>
      <c r="AI3" s="12"/>
    </row>
    <row r="4" spans="1:93" ht="19.5" thickBot="1" thickTop="1">
      <c r="A4" s="19">
        <v>129</v>
      </c>
      <c r="B4" s="20">
        <v>1</v>
      </c>
      <c r="C4" s="15">
        <v>15172</v>
      </c>
      <c r="D4" s="15" t="s">
        <v>27</v>
      </c>
      <c r="E4" s="15">
        <v>3</v>
      </c>
      <c r="F4" s="14" t="s">
        <v>92</v>
      </c>
      <c r="G4" s="14">
        <v>0</v>
      </c>
      <c r="H4" s="14">
        <v>1</v>
      </c>
      <c r="I4" s="14">
        <v>0</v>
      </c>
      <c r="J4" s="14">
        <v>1</v>
      </c>
      <c r="K4" s="14">
        <v>1</v>
      </c>
      <c r="L4" s="14">
        <v>2</v>
      </c>
      <c r="M4" s="14">
        <v>1</v>
      </c>
      <c r="N4" s="14">
        <v>1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21">
        <v>0</v>
      </c>
      <c r="U4" s="21">
        <v>0</v>
      </c>
      <c r="V4" s="21">
        <v>0</v>
      </c>
      <c r="W4" s="21"/>
      <c r="X4" s="21"/>
      <c r="Y4" s="21"/>
      <c r="Z4" s="26">
        <f aca="true" t="shared" si="0" ref="Z4:Z26">((T4*50%+U4*85%+V4)/L4)+W4</f>
        <v>0</v>
      </c>
      <c r="AA4" s="26">
        <f aca="true" t="shared" si="1" ref="AA4:AA26">IF(O4=1,Z4*30%,0)</f>
        <v>0</v>
      </c>
      <c r="AB4" s="26">
        <f aca="true" t="shared" si="2" ref="AB4:AB26">IF(K4=1,Z4*20%,0)</f>
        <v>0</v>
      </c>
      <c r="AC4" s="26">
        <f aca="true" t="shared" si="3" ref="AC4:AC26">IF(R4=1,Z4*10%,0)</f>
        <v>0</v>
      </c>
      <c r="AD4" s="26">
        <f aca="true" t="shared" si="4" ref="AD4:AD26">IF(S4=1,Z4*30%,0)</f>
        <v>0</v>
      </c>
      <c r="AE4" s="26">
        <f aca="true" t="shared" si="5" ref="AE4:AE26">IF(I4=1,Z4*30%,0)</f>
        <v>0</v>
      </c>
      <c r="AF4" s="26">
        <f aca="true" t="shared" si="6" ref="AF4:AF26">Z4-AA4-AB4-AC4-AD4-AE4</f>
        <v>0</v>
      </c>
      <c r="AG4" s="53">
        <v>23</v>
      </c>
      <c r="AH4" s="86" t="s">
        <v>75</v>
      </c>
      <c r="AI4" s="22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</row>
    <row r="5" spans="1:93" ht="19.5" thickBot="1" thickTop="1">
      <c r="A5" s="19"/>
      <c r="B5" s="20">
        <v>2</v>
      </c>
      <c r="C5" s="15">
        <v>15325</v>
      </c>
      <c r="D5" s="15" t="s">
        <v>24</v>
      </c>
      <c r="E5" s="15">
        <v>3</v>
      </c>
      <c r="F5" s="14" t="s">
        <v>166</v>
      </c>
      <c r="G5" s="14">
        <v>0</v>
      </c>
      <c r="H5" s="14">
        <v>1</v>
      </c>
      <c r="I5" s="14">
        <v>1</v>
      </c>
      <c r="J5" s="14">
        <v>0</v>
      </c>
      <c r="K5" s="14">
        <v>0</v>
      </c>
      <c r="L5" s="14">
        <v>3</v>
      </c>
      <c r="M5" s="14">
        <v>1</v>
      </c>
      <c r="N5" s="14">
        <v>1</v>
      </c>
      <c r="O5" s="14">
        <v>0</v>
      </c>
      <c r="P5" s="14">
        <v>1</v>
      </c>
      <c r="Q5" s="14">
        <v>0</v>
      </c>
      <c r="R5" s="14">
        <v>0</v>
      </c>
      <c r="S5" s="14">
        <v>0</v>
      </c>
      <c r="T5" s="21">
        <v>0</v>
      </c>
      <c r="U5" s="21">
        <v>0</v>
      </c>
      <c r="V5" s="21">
        <v>0.01</v>
      </c>
      <c r="W5" s="21"/>
      <c r="X5" s="21"/>
      <c r="Y5" s="21"/>
      <c r="Z5" s="26">
        <f t="shared" si="0"/>
        <v>0.0033333333333333335</v>
      </c>
      <c r="AA5" s="26">
        <f t="shared" si="1"/>
        <v>0</v>
      </c>
      <c r="AB5" s="26">
        <f t="shared" si="2"/>
        <v>0</v>
      </c>
      <c r="AC5" s="26">
        <f t="shared" si="3"/>
        <v>0</v>
      </c>
      <c r="AD5" s="26">
        <f t="shared" si="4"/>
        <v>0</v>
      </c>
      <c r="AE5" s="26">
        <f t="shared" si="5"/>
        <v>0.001</v>
      </c>
      <c r="AF5" s="26">
        <f t="shared" si="6"/>
        <v>0.0023333333333333335</v>
      </c>
      <c r="AG5" s="85">
        <v>42</v>
      </c>
      <c r="AH5" s="86" t="s">
        <v>69</v>
      </c>
      <c r="AI5" s="89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</row>
    <row r="6" spans="1:93" ht="27.75" thickBot="1" thickTop="1">
      <c r="A6" s="82"/>
      <c r="B6" s="20">
        <v>3</v>
      </c>
      <c r="C6" s="83">
        <v>13623</v>
      </c>
      <c r="D6" s="83" t="s">
        <v>27</v>
      </c>
      <c r="E6" s="83">
        <v>7</v>
      </c>
      <c r="F6" s="83" t="s">
        <v>140</v>
      </c>
      <c r="G6" s="20">
        <v>0</v>
      </c>
      <c r="H6" s="84">
        <v>1</v>
      </c>
      <c r="I6" s="84">
        <v>1</v>
      </c>
      <c r="J6" s="84">
        <v>1</v>
      </c>
      <c r="K6" s="20">
        <v>0</v>
      </c>
      <c r="L6" s="20">
        <v>4</v>
      </c>
      <c r="M6" s="84">
        <v>1</v>
      </c>
      <c r="N6" s="84">
        <v>1</v>
      </c>
      <c r="O6" s="84">
        <v>0</v>
      </c>
      <c r="P6" s="84">
        <v>0</v>
      </c>
      <c r="Q6" s="84">
        <v>0</v>
      </c>
      <c r="R6" s="84">
        <v>0</v>
      </c>
      <c r="S6" s="84">
        <v>1</v>
      </c>
      <c r="T6" s="91">
        <v>7830.91</v>
      </c>
      <c r="U6" s="91"/>
      <c r="V6" s="91">
        <v>3.92</v>
      </c>
      <c r="W6" s="91"/>
      <c r="X6" s="91"/>
      <c r="Y6" s="91"/>
      <c r="Z6" s="26">
        <f t="shared" si="0"/>
        <v>979.84375</v>
      </c>
      <c r="AA6" s="26">
        <f t="shared" si="1"/>
        <v>0</v>
      </c>
      <c r="AB6" s="26">
        <f t="shared" si="2"/>
        <v>0</v>
      </c>
      <c r="AC6" s="26">
        <f t="shared" si="3"/>
        <v>0</v>
      </c>
      <c r="AD6" s="26">
        <f t="shared" si="4"/>
        <v>293.953125</v>
      </c>
      <c r="AE6" s="26">
        <f t="shared" si="5"/>
        <v>293.953125</v>
      </c>
      <c r="AF6" s="26">
        <f t="shared" si="6"/>
        <v>391.9375</v>
      </c>
      <c r="AG6" s="53">
        <v>22</v>
      </c>
      <c r="AH6" s="86" t="s">
        <v>139</v>
      </c>
      <c r="AI6" s="22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1"/>
    </row>
    <row r="7" spans="1:93" ht="27.75" thickBot="1" thickTop="1">
      <c r="A7" s="82"/>
      <c r="B7" s="20">
        <v>4</v>
      </c>
      <c r="C7" s="83">
        <v>15204</v>
      </c>
      <c r="D7" s="83" t="s">
        <v>24</v>
      </c>
      <c r="E7" s="83">
        <v>3</v>
      </c>
      <c r="F7" s="83" t="s">
        <v>143</v>
      </c>
      <c r="G7" s="84">
        <v>0</v>
      </c>
      <c r="H7" s="84">
        <v>1</v>
      </c>
      <c r="I7" s="15">
        <v>0</v>
      </c>
      <c r="J7" s="84">
        <v>1</v>
      </c>
      <c r="K7" s="14">
        <v>0</v>
      </c>
      <c r="L7" s="14">
        <v>6</v>
      </c>
      <c r="M7" s="14">
        <v>1</v>
      </c>
      <c r="N7" s="84">
        <v>1</v>
      </c>
      <c r="O7" s="84">
        <v>1</v>
      </c>
      <c r="P7" s="84">
        <v>1</v>
      </c>
      <c r="Q7" s="84">
        <v>0</v>
      </c>
      <c r="R7" s="84">
        <v>1</v>
      </c>
      <c r="S7" s="84">
        <v>1</v>
      </c>
      <c r="T7" s="21">
        <f>9305.32+4439.95+1560.22</f>
        <v>15305.49</v>
      </c>
      <c r="U7" s="21"/>
      <c r="V7" s="21">
        <v>855</v>
      </c>
      <c r="W7" s="21"/>
      <c r="X7" s="21"/>
      <c r="Y7" s="21"/>
      <c r="Z7" s="26">
        <f t="shared" si="0"/>
        <v>1417.9574999999998</v>
      </c>
      <c r="AA7" s="26">
        <f t="shared" si="1"/>
        <v>425.38724999999994</v>
      </c>
      <c r="AB7" s="26">
        <f t="shared" si="2"/>
        <v>0</v>
      </c>
      <c r="AC7" s="26">
        <f t="shared" si="3"/>
        <v>141.79574999999997</v>
      </c>
      <c r="AD7" s="26">
        <f t="shared" si="4"/>
        <v>425.38724999999994</v>
      </c>
      <c r="AE7" s="26">
        <f t="shared" si="5"/>
        <v>0</v>
      </c>
      <c r="AF7" s="26">
        <f t="shared" si="6"/>
        <v>425.3872499999998</v>
      </c>
      <c r="AG7" s="85">
        <v>45</v>
      </c>
      <c r="AH7" s="86" t="s">
        <v>66</v>
      </c>
      <c r="AI7" s="87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1"/>
    </row>
    <row r="8" spans="2:93" s="92" customFormat="1" ht="27.75" thickBot="1" thickTop="1">
      <c r="B8" s="20">
        <v>5</v>
      </c>
      <c r="C8" s="83">
        <v>15315</v>
      </c>
      <c r="D8" s="83" t="s">
        <v>24</v>
      </c>
      <c r="E8" s="83">
        <v>3</v>
      </c>
      <c r="F8" s="83" t="s">
        <v>104</v>
      </c>
      <c r="G8" s="84">
        <v>0</v>
      </c>
      <c r="H8" s="84">
        <v>1</v>
      </c>
      <c r="I8" s="84">
        <v>0</v>
      </c>
      <c r="J8" s="84">
        <v>1</v>
      </c>
      <c r="K8" s="14">
        <v>1</v>
      </c>
      <c r="L8" s="14">
        <v>5</v>
      </c>
      <c r="M8" s="14">
        <v>1</v>
      </c>
      <c r="N8" s="84">
        <v>1</v>
      </c>
      <c r="O8" s="84">
        <v>1</v>
      </c>
      <c r="P8" s="84">
        <v>1</v>
      </c>
      <c r="Q8" s="84">
        <v>0</v>
      </c>
      <c r="R8" s="84">
        <v>0</v>
      </c>
      <c r="S8" s="84">
        <v>0</v>
      </c>
      <c r="T8" s="21">
        <v>4289.01</v>
      </c>
      <c r="U8" s="21"/>
      <c r="V8" s="21">
        <f>7865.2-T8</f>
        <v>3576.1899999999996</v>
      </c>
      <c r="W8" s="21"/>
      <c r="X8" s="21"/>
      <c r="Y8" s="21"/>
      <c r="Z8" s="26">
        <f t="shared" si="0"/>
        <v>1144.139</v>
      </c>
      <c r="AA8" s="26">
        <f t="shared" si="1"/>
        <v>343.2417</v>
      </c>
      <c r="AB8" s="26">
        <f t="shared" si="2"/>
        <v>228.8278</v>
      </c>
      <c r="AC8" s="26">
        <f t="shared" si="3"/>
        <v>0</v>
      </c>
      <c r="AD8" s="26">
        <f t="shared" si="4"/>
        <v>0</v>
      </c>
      <c r="AE8" s="26">
        <f t="shared" si="5"/>
        <v>0</v>
      </c>
      <c r="AF8" s="26">
        <f t="shared" si="6"/>
        <v>572.0694999999998</v>
      </c>
      <c r="AG8" s="85">
        <v>22.5</v>
      </c>
      <c r="AH8" s="93" t="s">
        <v>67</v>
      </c>
      <c r="AI8" s="94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</row>
    <row r="9" spans="2:93" s="92" customFormat="1" ht="19.5" thickBot="1" thickTop="1">
      <c r="B9" s="20">
        <v>6</v>
      </c>
      <c r="C9" s="83">
        <v>15087</v>
      </c>
      <c r="D9" s="83" t="s">
        <v>24</v>
      </c>
      <c r="E9" s="83">
        <v>5</v>
      </c>
      <c r="F9" s="83" t="s">
        <v>173</v>
      </c>
      <c r="G9" s="84">
        <v>0</v>
      </c>
      <c r="H9" s="84">
        <v>1</v>
      </c>
      <c r="I9" s="84">
        <v>0</v>
      </c>
      <c r="J9" s="84">
        <v>1</v>
      </c>
      <c r="K9" s="14">
        <v>0</v>
      </c>
      <c r="L9" s="14">
        <v>4</v>
      </c>
      <c r="M9" s="14">
        <v>1</v>
      </c>
      <c r="N9" s="84">
        <v>1</v>
      </c>
      <c r="O9" s="83">
        <v>1</v>
      </c>
      <c r="P9" s="84">
        <v>0</v>
      </c>
      <c r="Q9" s="84">
        <v>1</v>
      </c>
      <c r="R9" s="84">
        <v>0</v>
      </c>
      <c r="S9" s="84">
        <v>0</v>
      </c>
      <c r="T9" s="21">
        <v>5130</v>
      </c>
      <c r="U9" s="21"/>
      <c r="V9" s="21">
        <f>5860-T9</f>
        <v>730</v>
      </c>
      <c r="W9" s="21"/>
      <c r="X9" s="21"/>
      <c r="Y9" s="21"/>
      <c r="Z9" s="26">
        <f t="shared" si="0"/>
        <v>823.75</v>
      </c>
      <c r="AA9" s="26">
        <f t="shared" si="1"/>
        <v>247.125</v>
      </c>
      <c r="AB9" s="26">
        <f t="shared" si="2"/>
        <v>0</v>
      </c>
      <c r="AC9" s="26">
        <f t="shared" si="3"/>
        <v>0</v>
      </c>
      <c r="AD9" s="26">
        <f t="shared" si="4"/>
        <v>0</v>
      </c>
      <c r="AE9" s="26">
        <f t="shared" si="5"/>
        <v>0</v>
      </c>
      <c r="AF9" s="26">
        <f t="shared" si="6"/>
        <v>576.625</v>
      </c>
      <c r="AG9" s="53">
        <v>76</v>
      </c>
      <c r="AH9" s="22" t="s">
        <v>174</v>
      </c>
      <c r="AI9" s="22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</row>
    <row r="10" spans="1:93" s="98" customFormat="1" ht="19.5" thickBot="1" thickTop="1">
      <c r="A10" s="95"/>
      <c r="B10" s="20">
        <v>7</v>
      </c>
      <c r="C10" s="83">
        <v>14627</v>
      </c>
      <c r="D10" s="83" t="s">
        <v>24</v>
      </c>
      <c r="E10" s="83">
        <v>7</v>
      </c>
      <c r="F10" s="83" t="s">
        <v>175</v>
      </c>
      <c r="G10" s="84">
        <v>0</v>
      </c>
      <c r="H10" s="84">
        <v>1</v>
      </c>
      <c r="I10" s="15">
        <v>0</v>
      </c>
      <c r="J10" s="84">
        <v>1</v>
      </c>
      <c r="K10" s="14">
        <v>0</v>
      </c>
      <c r="L10" s="14">
        <v>4</v>
      </c>
      <c r="M10" s="14">
        <v>1</v>
      </c>
      <c r="N10" s="84">
        <v>1</v>
      </c>
      <c r="O10" s="96">
        <v>1</v>
      </c>
      <c r="P10" s="84">
        <v>0</v>
      </c>
      <c r="Q10" s="84">
        <v>1</v>
      </c>
      <c r="R10" s="84">
        <v>0</v>
      </c>
      <c r="S10" s="15">
        <v>0</v>
      </c>
      <c r="T10" s="21">
        <v>5130</v>
      </c>
      <c r="U10" s="21"/>
      <c r="V10" s="21">
        <f>5860-T10</f>
        <v>730</v>
      </c>
      <c r="W10" s="21"/>
      <c r="X10" s="21"/>
      <c r="Y10" s="21"/>
      <c r="Z10" s="26">
        <f t="shared" si="0"/>
        <v>823.75</v>
      </c>
      <c r="AA10" s="26">
        <f t="shared" si="1"/>
        <v>247.125</v>
      </c>
      <c r="AB10" s="26">
        <f t="shared" si="2"/>
        <v>0</v>
      </c>
      <c r="AC10" s="26">
        <f t="shared" si="3"/>
        <v>0</v>
      </c>
      <c r="AD10" s="26">
        <f t="shared" si="4"/>
        <v>0</v>
      </c>
      <c r="AE10" s="26">
        <f t="shared" si="5"/>
        <v>0</v>
      </c>
      <c r="AF10" s="26">
        <f t="shared" si="6"/>
        <v>576.625</v>
      </c>
      <c r="AG10" s="53">
        <v>60.5</v>
      </c>
      <c r="AH10" s="22" t="s">
        <v>174</v>
      </c>
      <c r="AI10" s="22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</row>
    <row r="11" spans="2:93" s="92" customFormat="1" ht="19.5" thickBot="1" thickTop="1">
      <c r="B11" s="20">
        <v>8</v>
      </c>
      <c r="C11" s="15">
        <v>13948</v>
      </c>
      <c r="D11" s="15" t="s">
        <v>27</v>
      </c>
      <c r="E11" s="15">
        <v>7</v>
      </c>
      <c r="F11" s="14" t="s">
        <v>145</v>
      </c>
      <c r="G11" s="14">
        <v>0</v>
      </c>
      <c r="H11" s="14">
        <v>1</v>
      </c>
      <c r="I11" s="14">
        <v>1</v>
      </c>
      <c r="J11" s="14">
        <v>1</v>
      </c>
      <c r="K11" s="14">
        <v>1</v>
      </c>
      <c r="L11" s="14">
        <v>3</v>
      </c>
      <c r="M11" s="14">
        <v>1</v>
      </c>
      <c r="N11" s="14">
        <v>1</v>
      </c>
      <c r="O11" s="14">
        <v>0</v>
      </c>
      <c r="P11" s="14">
        <v>0</v>
      </c>
      <c r="Q11" s="14">
        <v>1</v>
      </c>
      <c r="R11" s="14">
        <v>0</v>
      </c>
      <c r="S11" s="14">
        <v>0</v>
      </c>
      <c r="T11" s="21">
        <f>4917.03+2239.2</f>
        <v>7156.23</v>
      </c>
      <c r="U11" s="21"/>
      <c r="V11" s="21">
        <f>7332.57-T11</f>
        <v>176.34000000000015</v>
      </c>
      <c r="W11" s="21"/>
      <c r="X11" s="21"/>
      <c r="Y11" s="21"/>
      <c r="Z11" s="26">
        <f t="shared" si="0"/>
        <v>1251.485</v>
      </c>
      <c r="AA11" s="26">
        <f t="shared" si="1"/>
        <v>0</v>
      </c>
      <c r="AB11" s="26">
        <f t="shared" si="2"/>
        <v>250.297</v>
      </c>
      <c r="AC11" s="26">
        <f t="shared" si="3"/>
        <v>0</v>
      </c>
      <c r="AD11" s="26">
        <f t="shared" si="4"/>
        <v>0</v>
      </c>
      <c r="AE11" s="26">
        <f t="shared" si="5"/>
        <v>375.4455</v>
      </c>
      <c r="AF11" s="26">
        <f t="shared" si="6"/>
        <v>625.7424999999998</v>
      </c>
      <c r="AG11" s="53">
        <v>44</v>
      </c>
      <c r="AH11" s="22" t="s">
        <v>144</v>
      </c>
      <c r="AI11" s="22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</row>
    <row r="12" spans="1:93" ht="19.5" thickBot="1" thickTop="1">
      <c r="A12" s="95"/>
      <c r="B12" s="20">
        <v>9</v>
      </c>
      <c r="C12" s="83">
        <v>15016</v>
      </c>
      <c r="D12" s="83" t="s">
        <v>24</v>
      </c>
      <c r="E12" s="83">
        <v>5</v>
      </c>
      <c r="F12" s="83" t="s">
        <v>96</v>
      </c>
      <c r="G12" s="84">
        <v>0</v>
      </c>
      <c r="H12" s="84">
        <v>1</v>
      </c>
      <c r="I12" s="84">
        <v>1</v>
      </c>
      <c r="J12" s="84">
        <v>1</v>
      </c>
      <c r="K12" s="14">
        <v>0</v>
      </c>
      <c r="L12" s="14">
        <v>5</v>
      </c>
      <c r="M12" s="14">
        <v>1</v>
      </c>
      <c r="N12" s="84">
        <v>1</v>
      </c>
      <c r="O12" s="84">
        <v>1</v>
      </c>
      <c r="P12" s="84">
        <v>0</v>
      </c>
      <c r="Q12" s="84">
        <v>1</v>
      </c>
      <c r="R12" s="84">
        <v>0</v>
      </c>
      <c r="S12" s="84">
        <v>0</v>
      </c>
      <c r="T12" s="21">
        <f>8564.26+9972.02</f>
        <v>18536.28</v>
      </c>
      <c r="U12" s="21"/>
      <c r="V12" s="21"/>
      <c r="W12" s="21"/>
      <c r="X12" s="99"/>
      <c r="Y12" s="99"/>
      <c r="Z12" s="26">
        <f t="shared" si="0"/>
        <v>1853.628</v>
      </c>
      <c r="AA12" s="26">
        <f t="shared" si="1"/>
        <v>556.0884</v>
      </c>
      <c r="AB12" s="26">
        <f t="shared" si="2"/>
        <v>0</v>
      </c>
      <c r="AC12" s="26">
        <f t="shared" si="3"/>
        <v>0</v>
      </c>
      <c r="AD12" s="26">
        <f t="shared" si="4"/>
        <v>0</v>
      </c>
      <c r="AE12" s="26">
        <f t="shared" si="5"/>
        <v>556.0884</v>
      </c>
      <c r="AF12" s="26">
        <f t="shared" si="6"/>
        <v>741.4512000000001</v>
      </c>
      <c r="AG12" s="100">
        <v>88</v>
      </c>
      <c r="AH12" s="87" t="s">
        <v>26</v>
      </c>
      <c r="AI12" s="8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1"/>
    </row>
    <row r="13" spans="1:93" ht="22.5" customHeight="1" thickBot="1" thickTop="1">
      <c r="A13" s="19"/>
      <c r="B13" s="20">
        <v>10</v>
      </c>
      <c r="C13" s="83">
        <v>15170</v>
      </c>
      <c r="D13" s="83" t="s">
        <v>27</v>
      </c>
      <c r="E13" s="83">
        <v>3</v>
      </c>
      <c r="F13" s="83" t="s">
        <v>176</v>
      </c>
      <c r="G13" s="84">
        <v>0</v>
      </c>
      <c r="H13" s="84">
        <v>1</v>
      </c>
      <c r="I13" s="84">
        <v>1</v>
      </c>
      <c r="J13" s="84">
        <v>1</v>
      </c>
      <c r="K13" s="14">
        <v>0</v>
      </c>
      <c r="L13" s="14">
        <v>4</v>
      </c>
      <c r="M13" s="14">
        <v>1</v>
      </c>
      <c r="N13" s="84">
        <v>1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21">
        <v>2447.9</v>
      </c>
      <c r="U13" s="21"/>
      <c r="V13" s="21">
        <f>5780-T13</f>
        <v>3332.1</v>
      </c>
      <c r="W13" s="21"/>
      <c r="X13" s="21"/>
      <c r="Y13" s="21"/>
      <c r="Z13" s="26">
        <f t="shared" si="0"/>
        <v>1139.0125</v>
      </c>
      <c r="AA13" s="26">
        <f t="shared" si="1"/>
        <v>0</v>
      </c>
      <c r="AB13" s="26">
        <f t="shared" si="2"/>
        <v>0</v>
      </c>
      <c r="AC13" s="26">
        <f t="shared" si="3"/>
        <v>0</v>
      </c>
      <c r="AD13" s="26">
        <f t="shared" si="4"/>
        <v>0</v>
      </c>
      <c r="AE13" s="26">
        <f t="shared" si="5"/>
        <v>341.70375</v>
      </c>
      <c r="AF13" s="26">
        <f t="shared" si="6"/>
        <v>797.30875</v>
      </c>
      <c r="AG13" s="85">
        <v>23</v>
      </c>
      <c r="AH13" s="101" t="s">
        <v>78</v>
      </c>
      <c r="AI13" s="87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</row>
    <row r="14" spans="1:93" ht="22.5" customHeight="1" thickBot="1" thickTop="1">
      <c r="A14" s="19">
        <v>35</v>
      </c>
      <c r="B14" s="20">
        <v>11</v>
      </c>
      <c r="C14" s="15">
        <v>15214</v>
      </c>
      <c r="D14" s="15" t="s">
        <v>24</v>
      </c>
      <c r="E14" s="15">
        <v>3</v>
      </c>
      <c r="F14" s="14" t="s">
        <v>149</v>
      </c>
      <c r="G14" s="14">
        <v>0</v>
      </c>
      <c r="H14" s="14">
        <v>1</v>
      </c>
      <c r="I14" s="14">
        <v>1</v>
      </c>
      <c r="J14" s="14">
        <v>1</v>
      </c>
      <c r="K14" s="14">
        <v>0</v>
      </c>
      <c r="L14" s="14">
        <v>5</v>
      </c>
      <c r="M14" s="14">
        <v>1</v>
      </c>
      <c r="N14" s="14">
        <v>1</v>
      </c>
      <c r="O14" s="14">
        <v>1</v>
      </c>
      <c r="P14" s="14">
        <v>1</v>
      </c>
      <c r="Q14" s="14">
        <v>0</v>
      </c>
      <c r="R14" s="14">
        <v>0</v>
      </c>
      <c r="S14" s="14">
        <v>0</v>
      </c>
      <c r="T14" s="21">
        <v>3435.42</v>
      </c>
      <c r="U14" s="21"/>
      <c r="V14" s="21">
        <f>10005+2500-T14</f>
        <v>9069.58</v>
      </c>
      <c r="W14" s="21"/>
      <c r="X14" s="21"/>
      <c r="Y14" s="21"/>
      <c r="Z14" s="26">
        <f t="shared" si="0"/>
        <v>2157.458</v>
      </c>
      <c r="AA14" s="26">
        <f t="shared" si="1"/>
        <v>647.2374</v>
      </c>
      <c r="AB14" s="26">
        <f t="shared" si="2"/>
        <v>0</v>
      </c>
      <c r="AC14" s="26">
        <f t="shared" si="3"/>
        <v>0</v>
      </c>
      <c r="AD14" s="26">
        <f t="shared" si="4"/>
        <v>0</v>
      </c>
      <c r="AE14" s="26">
        <f t="shared" si="5"/>
        <v>647.2374</v>
      </c>
      <c r="AF14" s="26">
        <f t="shared" si="6"/>
        <v>862.9832000000001</v>
      </c>
      <c r="AG14" s="85">
        <v>52</v>
      </c>
      <c r="AH14" s="86" t="s">
        <v>26</v>
      </c>
      <c r="AI14" s="86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</row>
    <row r="15" spans="1:93" ht="19.5" thickBot="1" thickTop="1">
      <c r="A15" s="19"/>
      <c r="B15" s="20">
        <v>12</v>
      </c>
      <c r="C15" s="83">
        <v>15052</v>
      </c>
      <c r="D15" s="83" t="s">
        <v>24</v>
      </c>
      <c r="E15" s="83">
        <v>5</v>
      </c>
      <c r="F15" s="83" t="s">
        <v>100</v>
      </c>
      <c r="G15" s="20">
        <v>0</v>
      </c>
      <c r="H15" s="84">
        <v>1</v>
      </c>
      <c r="I15" s="84">
        <v>0</v>
      </c>
      <c r="J15" s="84">
        <v>1</v>
      </c>
      <c r="K15" s="20">
        <v>0</v>
      </c>
      <c r="L15" s="20">
        <v>5</v>
      </c>
      <c r="M15" s="84">
        <v>1</v>
      </c>
      <c r="N15" s="84">
        <v>1</v>
      </c>
      <c r="O15" s="84">
        <v>0</v>
      </c>
      <c r="P15" s="84">
        <v>0</v>
      </c>
      <c r="Q15" s="84">
        <v>1</v>
      </c>
      <c r="R15" s="84">
        <v>0</v>
      </c>
      <c r="S15" s="84">
        <v>0</v>
      </c>
      <c r="T15" s="91"/>
      <c r="U15" s="91">
        <v>6383</v>
      </c>
      <c r="V15" s="91"/>
      <c r="W15" s="91"/>
      <c r="X15" s="102"/>
      <c r="Y15" s="102"/>
      <c r="Z15" s="26">
        <f t="shared" si="0"/>
        <v>1085.1100000000001</v>
      </c>
      <c r="AA15" s="26">
        <f t="shared" si="1"/>
        <v>0</v>
      </c>
      <c r="AB15" s="26">
        <f t="shared" si="2"/>
        <v>0</v>
      </c>
      <c r="AC15" s="26">
        <f t="shared" si="3"/>
        <v>0</v>
      </c>
      <c r="AD15" s="26">
        <f t="shared" si="4"/>
        <v>0</v>
      </c>
      <c r="AE15" s="26">
        <f t="shared" si="5"/>
        <v>0</v>
      </c>
      <c r="AF15" s="26">
        <f t="shared" si="6"/>
        <v>1085.1100000000001</v>
      </c>
      <c r="AG15" s="100">
        <v>59.5</v>
      </c>
      <c r="AH15" s="22" t="s">
        <v>63</v>
      </c>
      <c r="AI15" s="10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</row>
    <row r="16" spans="1:93" ht="27.75" thickBot="1" thickTop="1">
      <c r="A16" s="19">
        <v>28</v>
      </c>
      <c r="B16" s="20">
        <v>13</v>
      </c>
      <c r="C16" s="83">
        <v>15138</v>
      </c>
      <c r="D16" s="104" t="s">
        <v>27</v>
      </c>
      <c r="E16" s="83">
        <v>3</v>
      </c>
      <c r="F16" s="83" t="s">
        <v>153</v>
      </c>
      <c r="G16" s="84">
        <v>0</v>
      </c>
      <c r="H16" s="84">
        <v>1</v>
      </c>
      <c r="I16" s="84">
        <v>1</v>
      </c>
      <c r="J16" s="84">
        <v>1</v>
      </c>
      <c r="K16" s="14">
        <v>0</v>
      </c>
      <c r="L16" s="14">
        <v>4</v>
      </c>
      <c r="M16" s="14">
        <v>1</v>
      </c>
      <c r="N16" s="84">
        <v>1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21"/>
      <c r="U16" s="21"/>
      <c r="V16" s="21">
        <v>6300</v>
      </c>
      <c r="W16" s="21"/>
      <c r="X16" s="21"/>
      <c r="Y16" s="21"/>
      <c r="Z16" s="26">
        <f t="shared" si="0"/>
        <v>1575</v>
      </c>
      <c r="AA16" s="26">
        <f t="shared" si="1"/>
        <v>0</v>
      </c>
      <c r="AB16" s="26">
        <f t="shared" si="2"/>
        <v>0</v>
      </c>
      <c r="AC16" s="26">
        <f t="shared" si="3"/>
        <v>0</v>
      </c>
      <c r="AD16" s="26">
        <f t="shared" si="4"/>
        <v>0</v>
      </c>
      <c r="AE16" s="26">
        <f t="shared" si="5"/>
        <v>472.5</v>
      </c>
      <c r="AF16" s="26">
        <f t="shared" si="6"/>
        <v>1102.5</v>
      </c>
      <c r="AG16" s="85">
        <v>33.5</v>
      </c>
      <c r="AH16" s="93" t="s">
        <v>70</v>
      </c>
      <c r="AI16" s="105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</row>
    <row r="17" spans="1:93" ht="22.5" customHeight="1" thickBot="1" thickTop="1">
      <c r="A17" s="19">
        <v>110</v>
      </c>
      <c r="B17" s="20">
        <v>14</v>
      </c>
      <c r="C17" s="15">
        <v>15047</v>
      </c>
      <c r="D17" s="15" t="s">
        <v>27</v>
      </c>
      <c r="E17" s="15">
        <v>5</v>
      </c>
      <c r="F17" s="14" t="s">
        <v>101</v>
      </c>
      <c r="G17" s="14">
        <v>0</v>
      </c>
      <c r="H17" s="14">
        <v>1</v>
      </c>
      <c r="I17" s="14">
        <v>0</v>
      </c>
      <c r="J17" s="14">
        <v>1</v>
      </c>
      <c r="K17" s="14">
        <v>0</v>
      </c>
      <c r="L17" s="14">
        <v>4</v>
      </c>
      <c r="M17" s="14">
        <v>1</v>
      </c>
      <c r="N17" s="14">
        <v>1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21"/>
      <c r="U17" s="21"/>
      <c r="V17" s="21">
        <f>3620+800.58</f>
        <v>4420.58</v>
      </c>
      <c r="W17" s="21"/>
      <c r="X17" s="99"/>
      <c r="Y17" s="99"/>
      <c r="Z17" s="26">
        <f t="shared" si="0"/>
        <v>1105.145</v>
      </c>
      <c r="AA17" s="26">
        <f t="shared" si="1"/>
        <v>0</v>
      </c>
      <c r="AB17" s="26">
        <f t="shared" si="2"/>
        <v>0</v>
      </c>
      <c r="AC17" s="26">
        <f t="shared" si="3"/>
        <v>0</v>
      </c>
      <c r="AD17" s="26">
        <f t="shared" si="4"/>
        <v>0</v>
      </c>
      <c r="AE17" s="26">
        <f t="shared" si="5"/>
        <v>0</v>
      </c>
      <c r="AF17" s="26">
        <f t="shared" si="6"/>
        <v>1105.145</v>
      </c>
      <c r="AG17" s="100">
        <v>24</v>
      </c>
      <c r="AH17" s="22" t="s">
        <v>25</v>
      </c>
      <c r="AI17" s="106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</row>
    <row r="18" spans="2:93" s="92" customFormat="1" ht="19.5" thickBot="1" thickTop="1">
      <c r="B18" s="20">
        <v>15</v>
      </c>
      <c r="C18" s="83">
        <v>15250</v>
      </c>
      <c r="D18" s="83" t="s">
        <v>24</v>
      </c>
      <c r="E18" s="83">
        <v>3</v>
      </c>
      <c r="F18" s="83" t="s">
        <v>138</v>
      </c>
      <c r="G18" s="20">
        <v>0</v>
      </c>
      <c r="H18" s="84">
        <v>1</v>
      </c>
      <c r="I18" s="84">
        <v>0</v>
      </c>
      <c r="J18" s="84">
        <v>1</v>
      </c>
      <c r="K18" s="20">
        <v>0</v>
      </c>
      <c r="L18" s="20">
        <v>3</v>
      </c>
      <c r="M18" s="84">
        <v>1</v>
      </c>
      <c r="N18" s="84">
        <v>1</v>
      </c>
      <c r="O18" s="84">
        <v>0</v>
      </c>
      <c r="P18" s="84">
        <v>0</v>
      </c>
      <c r="Q18" s="84">
        <v>0</v>
      </c>
      <c r="R18" s="84">
        <v>1</v>
      </c>
      <c r="S18" s="84">
        <v>0</v>
      </c>
      <c r="T18" s="91">
        <v>7378.58</v>
      </c>
      <c r="U18" s="91"/>
      <c r="V18" s="91"/>
      <c r="W18" s="91"/>
      <c r="X18" s="91"/>
      <c r="Y18" s="91"/>
      <c r="Z18" s="26">
        <f t="shared" si="0"/>
        <v>1229.7633333333333</v>
      </c>
      <c r="AA18" s="26">
        <f t="shared" si="1"/>
        <v>0</v>
      </c>
      <c r="AB18" s="26">
        <f t="shared" si="2"/>
        <v>0</v>
      </c>
      <c r="AC18" s="26">
        <f t="shared" si="3"/>
        <v>122.97633333333334</v>
      </c>
      <c r="AD18" s="26">
        <f t="shared" si="4"/>
        <v>0</v>
      </c>
      <c r="AE18" s="26">
        <f t="shared" si="5"/>
        <v>0</v>
      </c>
      <c r="AF18" s="26">
        <f t="shared" si="6"/>
        <v>1106.787</v>
      </c>
      <c r="AG18" s="53">
        <v>25</v>
      </c>
      <c r="AH18" s="86" t="s">
        <v>68</v>
      </c>
      <c r="AI18" s="22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</row>
    <row r="19" spans="2:93" s="92" customFormat="1" ht="19.5" thickBot="1" thickTop="1">
      <c r="B19" s="20">
        <v>16</v>
      </c>
      <c r="C19" s="15">
        <v>15097</v>
      </c>
      <c r="D19" s="15" t="s">
        <v>24</v>
      </c>
      <c r="E19" s="15">
        <v>5</v>
      </c>
      <c r="F19" s="14" t="s">
        <v>98</v>
      </c>
      <c r="G19" s="14">
        <v>0</v>
      </c>
      <c r="H19" s="14">
        <v>1</v>
      </c>
      <c r="I19" s="14">
        <v>0</v>
      </c>
      <c r="J19" s="14">
        <v>1</v>
      </c>
      <c r="K19" s="14">
        <v>0</v>
      </c>
      <c r="L19" s="14">
        <v>6</v>
      </c>
      <c r="M19" s="14">
        <v>1</v>
      </c>
      <c r="N19" s="14">
        <v>1</v>
      </c>
      <c r="O19" s="14">
        <v>1</v>
      </c>
      <c r="P19" s="14">
        <v>1</v>
      </c>
      <c r="Q19" s="14">
        <v>0</v>
      </c>
      <c r="R19" s="14">
        <v>0</v>
      </c>
      <c r="S19" s="14">
        <v>0</v>
      </c>
      <c r="T19" s="21"/>
      <c r="U19" s="21">
        <v>1772.19</v>
      </c>
      <c r="V19" s="21">
        <f>7710+2500-U19</f>
        <v>8437.81</v>
      </c>
      <c r="W19" s="21"/>
      <c r="X19" s="99"/>
      <c r="Y19" s="99"/>
      <c r="Z19" s="26">
        <f t="shared" si="0"/>
        <v>1657.3619166666667</v>
      </c>
      <c r="AA19" s="26">
        <f t="shared" si="1"/>
        <v>497.208575</v>
      </c>
      <c r="AB19" s="26">
        <f t="shared" si="2"/>
        <v>0</v>
      </c>
      <c r="AC19" s="26">
        <f t="shared" si="3"/>
        <v>0</v>
      </c>
      <c r="AD19" s="26">
        <f t="shared" si="4"/>
        <v>0</v>
      </c>
      <c r="AE19" s="26">
        <f t="shared" si="5"/>
        <v>0</v>
      </c>
      <c r="AF19" s="26">
        <f t="shared" si="6"/>
        <v>1160.1533416666666</v>
      </c>
      <c r="AG19" s="100">
        <v>24.5</v>
      </c>
      <c r="AH19" s="22" t="s">
        <v>56</v>
      </c>
      <c r="AI19" s="22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</row>
    <row r="20" spans="1:93" ht="19.5" thickBot="1" thickTop="1">
      <c r="A20" s="19"/>
      <c r="B20" s="20">
        <v>17</v>
      </c>
      <c r="C20" s="83">
        <v>15249</v>
      </c>
      <c r="D20" s="83" t="s">
        <v>24</v>
      </c>
      <c r="E20" s="83">
        <v>3</v>
      </c>
      <c r="F20" s="83" t="s">
        <v>93</v>
      </c>
      <c r="G20" s="84">
        <v>0</v>
      </c>
      <c r="H20" s="84">
        <v>1</v>
      </c>
      <c r="I20" s="15">
        <v>1</v>
      </c>
      <c r="J20" s="84">
        <v>1</v>
      </c>
      <c r="K20" s="14">
        <v>0</v>
      </c>
      <c r="L20" s="14">
        <v>4</v>
      </c>
      <c r="M20" s="14">
        <v>1</v>
      </c>
      <c r="N20" s="84">
        <v>1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21"/>
      <c r="U20" s="21"/>
      <c r="V20" s="21">
        <v>6673.33</v>
      </c>
      <c r="W20" s="21"/>
      <c r="X20" s="21"/>
      <c r="Y20" s="21"/>
      <c r="Z20" s="26">
        <f t="shared" si="0"/>
        <v>1668.3325</v>
      </c>
      <c r="AA20" s="26">
        <f t="shared" si="1"/>
        <v>0</v>
      </c>
      <c r="AB20" s="26">
        <f t="shared" si="2"/>
        <v>0</v>
      </c>
      <c r="AC20" s="26">
        <f t="shared" si="3"/>
        <v>0</v>
      </c>
      <c r="AD20" s="26">
        <f t="shared" si="4"/>
        <v>0</v>
      </c>
      <c r="AE20" s="26">
        <f t="shared" si="5"/>
        <v>500.49974999999995</v>
      </c>
      <c r="AF20" s="26">
        <f t="shared" si="6"/>
        <v>1167.83275</v>
      </c>
      <c r="AG20" s="85">
        <v>32.5</v>
      </c>
      <c r="AH20" s="86" t="s">
        <v>58</v>
      </c>
      <c r="AI20" s="22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</row>
    <row r="21" spans="1:93" ht="19.5" thickBot="1" thickTop="1">
      <c r="A21" s="19"/>
      <c r="B21" s="20">
        <v>18</v>
      </c>
      <c r="C21" s="15">
        <v>15150</v>
      </c>
      <c r="D21" s="15" t="s">
        <v>24</v>
      </c>
      <c r="E21" s="15">
        <v>5</v>
      </c>
      <c r="F21" s="15" t="s">
        <v>137</v>
      </c>
      <c r="G21" s="20">
        <v>0</v>
      </c>
      <c r="H21" s="20">
        <v>1</v>
      </c>
      <c r="I21" s="15">
        <v>0</v>
      </c>
      <c r="J21" s="20">
        <v>1</v>
      </c>
      <c r="K21" s="14">
        <v>0</v>
      </c>
      <c r="L21" s="14">
        <v>6</v>
      </c>
      <c r="M21" s="14">
        <v>1</v>
      </c>
      <c r="N21" s="20">
        <v>1</v>
      </c>
      <c r="O21" s="20">
        <v>0</v>
      </c>
      <c r="P21" s="20">
        <v>1</v>
      </c>
      <c r="Q21" s="20">
        <v>0</v>
      </c>
      <c r="R21" s="20">
        <v>0</v>
      </c>
      <c r="S21" s="20">
        <v>0</v>
      </c>
      <c r="T21" s="21">
        <f>7670.04+1976.88+2185.84</f>
        <v>11832.76</v>
      </c>
      <c r="U21" s="21"/>
      <c r="V21" s="21">
        <f>10647.17+2500-T21</f>
        <v>1314.4099999999999</v>
      </c>
      <c r="W21" s="21"/>
      <c r="X21" s="99"/>
      <c r="Y21" s="99"/>
      <c r="Z21" s="26">
        <f t="shared" si="0"/>
        <v>1205.1316666666667</v>
      </c>
      <c r="AA21" s="26">
        <f t="shared" si="1"/>
        <v>0</v>
      </c>
      <c r="AB21" s="26">
        <f t="shared" si="2"/>
        <v>0</v>
      </c>
      <c r="AC21" s="26">
        <f t="shared" si="3"/>
        <v>0</v>
      </c>
      <c r="AD21" s="26">
        <f t="shared" si="4"/>
        <v>0</v>
      </c>
      <c r="AE21" s="26">
        <f t="shared" si="5"/>
        <v>0</v>
      </c>
      <c r="AF21" s="26">
        <f t="shared" si="6"/>
        <v>1205.1316666666667</v>
      </c>
      <c r="AG21" s="100">
        <v>35</v>
      </c>
      <c r="AH21" s="87" t="s">
        <v>136</v>
      </c>
      <c r="AI21" s="87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</row>
    <row r="22" spans="1:93" ht="22.5" customHeight="1" thickBot="1" thickTop="1">
      <c r="A22" s="19">
        <v>193</v>
      </c>
      <c r="B22" s="20">
        <v>19</v>
      </c>
      <c r="C22" s="15">
        <v>15024</v>
      </c>
      <c r="D22" s="15" t="s">
        <v>27</v>
      </c>
      <c r="E22" s="15">
        <v>5</v>
      </c>
      <c r="F22" s="14" t="s">
        <v>97</v>
      </c>
      <c r="G22" s="14">
        <v>0</v>
      </c>
      <c r="H22" s="14">
        <v>1</v>
      </c>
      <c r="I22" s="14">
        <v>0</v>
      </c>
      <c r="J22" s="14">
        <v>1</v>
      </c>
      <c r="K22" s="14">
        <v>0</v>
      </c>
      <c r="L22" s="14">
        <v>3</v>
      </c>
      <c r="M22" s="14">
        <v>1</v>
      </c>
      <c r="N22" s="14">
        <v>1</v>
      </c>
      <c r="O22" s="14">
        <v>0</v>
      </c>
      <c r="P22" s="14">
        <v>0</v>
      </c>
      <c r="Q22" s="14">
        <v>0</v>
      </c>
      <c r="R22" s="14">
        <v>0</v>
      </c>
      <c r="S22" s="14">
        <v>1</v>
      </c>
      <c r="T22" s="21">
        <f>4344+4344</f>
        <v>8688</v>
      </c>
      <c r="U22" s="21"/>
      <c r="V22" s="21">
        <v>866.53</v>
      </c>
      <c r="W22" s="21"/>
      <c r="X22" s="99"/>
      <c r="Y22" s="99"/>
      <c r="Z22" s="26">
        <f t="shared" si="0"/>
        <v>1736.8433333333332</v>
      </c>
      <c r="AA22" s="26">
        <f t="shared" si="1"/>
        <v>0</v>
      </c>
      <c r="AB22" s="26">
        <f t="shared" si="2"/>
        <v>0</v>
      </c>
      <c r="AC22" s="26">
        <f t="shared" si="3"/>
        <v>0</v>
      </c>
      <c r="AD22" s="26">
        <f t="shared" si="4"/>
        <v>521.053</v>
      </c>
      <c r="AE22" s="26">
        <f t="shared" si="5"/>
        <v>0</v>
      </c>
      <c r="AF22" s="26">
        <f t="shared" si="6"/>
        <v>1215.7903333333334</v>
      </c>
      <c r="AG22" s="85">
        <v>29</v>
      </c>
      <c r="AH22" s="22" t="s">
        <v>25</v>
      </c>
      <c r="AI22" s="22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</row>
    <row r="23" spans="1:93" ht="27.75" thickBot="1" thickTop="1">
      <c r="A23" s="19">
        <v>206</v>
      </c>
      <c r="B23" s="20">
        <v>20</v>
      </c>
      <c r="C23" s="15">
        <v>15071</v>
      </c>
      <c r="D23" s="15" t="s">
        <v>24</v>
      </c>
      <c r="E23" s="15">
        <v>5</v>
      </c>
      <c r="F23" s="14" t="s">
        <v>148</v>
      </c>
      <c r="G23" s="107">
        <v>0</v>
      </c>
      <c r="H23" s="107">
        <v>1</v>
      </c>
      <c r="I23" s="107">
        <v>1</v>
      </c>
      <c r="J23" s="107">
        <v>1</v>
      </c>
      <c r="K23" s="107">
        <v>0</v>
      </c>
      <c r="L23" s="107">
        <v>6</v>
      </c>
      <c r="M23" s="107">
        <v>1</v>
      </c>
      <c r="N23" s="107">
        <v>1</v>
      </c>
      <c r="O23" s="107">
        <v>1</v>
      </c>
      <c r="P23" s="107">
        <v>1</v>
      </c>
      <c r="Q23" s="107">
        <v>0</v>
      </c>
      <c r="R23" s="107">
        <v>0</v>
      </c>
      <c r="S23" s="107">
        <v>0</v>
      </c>
      <c r="T23" s="21">
        <v>2881.2</v>
      </c>
      <c r="U23" s="21">
        <v>1837.89</v>
      </c>
      <c r="V23" s="21">
        <f>7926.78+7477.5</f>
        <v>15404.279999999999</v>
      </c>
      <c r="W23" s="21"/>
      <c r="X23" s="99"/>
      <c r="Y23" s="99"/>
      <c r="Z23" s="26">
        <f t="shared" si="0"/>
        <v>3067.8477499999995</v>
      </c>
      <c r="AA23" s="26">
        <f t="shared" si="1"/>
        <v>920.3543249999998</v>
      </c>
      <c r="AB23" s="26">
        <f t="shared" si="2"/>
        <v>0</v>
      </c>
      <c r="AC23" s="26">
        <f t="shared" si="3"/>
        <v>0</v>
      </c>
      <c r="AD23" s="26">
        <f t="shared" si="4"/>
        <v>0</v>
      </c>
      <c r="AE23" s="26">
        <f t="shared" si="5"/>
        <v>920.3543249999998</v>
      </c>
      <c r="AF23" s="26">
        <f t="shared" si="6"/>
        <v>1227.1390999999999</v>
      </c>
      <c r="AG23" s="100">
        <v>8</v>
      </c>
      <c r="AH23" s="86" t="s">
        <v>147</v>
      </c>
      <c r="AI23" s="22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</row>
    <row r="24" spans="1:93" ht="22.5" customHeight="1" thickBot="1" thickTop="1">
      <c r="A24" s="19">
        <v>85</v>
      </c>
      <c r="B24" s="20">
        <v>21</v>
      </c>
      <c r="C24" s="83">
        <v>15034</v>
      </c>
      <c r="D24" s="83" t="s">
        <v>27</v>
      </c>
      <c r="E24" s="83">
        <v>5</v>
      </c>
      <c r="F24" s="83" t="s">
        <v>108</v>
      </c>
      <c r="G24" s="20">
        <v>0</v>
      </c>
      <c r="H24" s="84">
        <v>1</v>
      </c>
      <c r="I24" s="84">
        <v>1</v>
      </c>
      <c r="J24" s="84">
        <v>1</v>
      </c>
      <c r="K24" s="20">
        <v>0</v>
      </c>
      <c r="L24" s="20">
        <v>4</v>
      </c>
      <c r="M24" s="84">
        <v>1</v>
      </c>
      <c r="N24" s="84">
        <v>1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91">
        <v>3514.18</v>
      </c>
      <c r="U24" s="91"/>
      <c r="V24" s="91">
        <f>5100+3860-T24</f>
        <v>5445.82</v>
      </c>
      <c r="W24" s="91"/>
      <c r="X24" s="102"/>
      <c r="Y24" s="102"/>
      <c r="Z24" s="26">
        <f t="shared" si="0"/>
        <v>1800.7275</v>
      </c>
      <c r="AA24" s="26">
        <f t="shared" si="1"/>
        <v>0</v>
      </c>
      <c r="AB24" s="26">
        <f t="shared" si="2"/>
        <v>0</v>
      </c>
      <c r="AC24" s="26">
        <f t="shared" si="3"/>
        <v>0</v>
      </c>
      <c r="AD24" s="26">
        <f t="shared" si="4"/>
        <v>0</v>
      </c>
      <c r="AE24" s="26">
        <f t="shared" si="5"/>
        <v>540.21825</v>
      </c>
      <c r="AF24" s="26">
        <f t="shared" si="6"/>
        <v>1260.50925</v>
      </c>
      <c r="AG24" s="100">
        <v>27.5</v>
      </c>
      <c r="AH24" s="89" t="s">
        <v>58</v>
      </c>
      <c r="AI24" s="108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</row>
    <row r="25" spans="1:93" ht="22.5" customHeight="1" thickBot="1" thickTop="1">
      <c r="A25" s="19">
        <v>39</v>
      </c>
      <c r="B25" s="20">
        <v>22</v>
      </c>
      <c r="C25" s="83">
        <v>15163</v>
      </c>
      <c r="D25" s="83" t="s">
        <v>27</v>
      </c>
      <c r="E25" s="83">
        <v>3</v>
      </c>
      <c r="F25" s="83" t="s">
        <v>142</v>
      </c>
      <c r="G25" s="20">
        <v>0</v>
      </c>
      <c r="H25" s="84">
        <v>1</v>
      </c>
      <c r="I25" s="84">
        <v>0</v>
      </c>
      <c r="J25" s="84">
        <v>1</v>
      </c>
      <c r="K25" s="20">
        <v>0</v>
      </c>
      <c r="L25" s="20">
        <v>5</v>
      </c>
      <c r="M25" s="84">
        <v>1</v>
      </c>
      <c r="N25" s="84">
        <v>1</v>
      </c>
      <c r="O25" s="84">
        <v>0</v>
      </c>
      <c r="P25" s="84">
        <v>0</v>
      </c>
      <c r="Q25" s="84">
        <v>1</v>
      </c>
      <c r="R25" s="84">
        <v>0</v>
      </c>
      <c r="S25" s="84">
        <v>0</v>
      </c>
      <c r="T25" s="91">
        <v>1401.03</v>
      </c>
      <c r="U25" s="91"/>
      <c r="V25" s="91">
        <f>7100-T25</f>
        <v>5698.97</v>
      </c>
      <c r="W25" s="91"/>
      <c r="X25" s="91"/>
      <c r="Y25" s="91"/>
      <c r="Z25" s="26">
        <f t="shared" si="0"/>
        <v>1279.8970000000002</v>
      </c>
      <c r="AA25" s="26">
        <f t="shared" si="1"/>
        <v>0</v>
      </c>
      <c r="AB25" s="26">
        <f t="shared" si="2"/>
        <v>0</v>
      </c>
      <c r="AC25" s="26">
        <f t="shared" si="3"/>
        <v>0</v>
      </c>
      <c r="AD25" s="26">
        <f t="shared" si="4"/>
        <v>0</v>
      </c>
      <c r="AE25" s="26">
        <f t="shared" si="5"/>
        <v>0</v>
      </c>
      <c r="AF25" s="26">
        <f t="shared" si="6"/>
        <v>1279.8970000000002</v>
      </c>
      <c r="AG25" s="85">
        <v>23</v>
      </c>
      <c r="AH25" s="86" t="s">
        <v>60</v>
      </c>
      <c r="AI25" s="89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</row>
    <row r="26" spans="1:93" ht="33" thickBot="1" thickTop="1">
      <c r="A26" s="19"/>
      <c r="B26" s="20">
        <v>23</v>
      </c>
      <c r="C26" s="15" t="s">
        <v>50</v>
      </c>
      <c r="D26" s="15" t="s">
        <v>27</v>
      </c>
      <c r="E26" s="15">
        <v>7</v>
      </c>
      <c r="F26" s="14" t="s">
        <v>83</v>
      </c>
      <c r="G26" s="14">
        <v>0</v>
      </c>
      <c r="H26" s="14">
        <v>1</v>
      </c>
      <c r="I26" s="14">
        <v>1</v>
      </c>
      <c r="J26" s="14">
        <v>1</v>
      </c>
      <c r="K26" s="14">
        <v>0</v>
      </c>
      <c r="L26" s="14">
        <v>4</v>
      </c>
      <c r="M26" s="14">
        <v>1</v>
      </c>
      <c r="N26" s="14">
        <v>1</v>
      </c>
      <c r="O26" s="14">
        <v>1</v>
      </c>
      <c r="P26" s="14">
        <v>0</v>
      </c>
      <c r="Q26" s="14">
        <v>0</v>
      </c>
      <c r="R26" s="14">
        <v>0</v>
      </c>
      <c r="S26" s="14">
        <v>0</v>
      </c>
      <c r="T26" s="21"/>
      <c r="U26" s="21">
        <v>2641.04</v>
      </c>
      <c r="V26" s="21">
        <f>5452.5+7822-U26</f>
        <v>10633.46</v>
      </c>
      <c r="W26" s="21"/>
      <c r="X26" s="21"/>
      <c r="Y26" s="21"/>
      <c r="Z26" s="26">
        <f t="shared" si="0"/>
        <v>3219.586</v>
      </c>
      <c r="AA26" s="26">
        <f t="shared" si="1"/>
        <v>965.8757999999999</v>
      </c>
      <c r="AB26" s="26">
        <f t="shared" si="2"/>
        <v>0</v>
      </c>
      <c r="AC26" s="26">
        <f t="shared" si="3"/>
        <v>0</v>
      </c>
      <c r="AD26" s="26">
        <f t="shared" si="4"/>
        <v>0</v>
      </c>
      <c r="AE26" s="26">
        <f t="shared" si="5"/>
        <v>965.8757999999999</v>
      </c>
      <c r="AF26" s="26">
        <f t="shared" si="6"/>
        <v>1287.8344000000002</v>
      </c>
      <c r="AG26" s="53">
        <v>31</v>
      </c>
      <c r="AH26" s="22" t="s">
        <v>41</v>
      </c>
      <c r="AI26" s="22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</row>
    <row r="27" spans="1:93" ht="27" customHeight="1" thickBot="1" thickTop="1">
      <c r="A27" s="19">
        <v>52</v>
      </c>
      <c r="B27" s="20">
        <v>24</v>
      </c>
      <c r="C27" s="15">
        <v>13865</v>
      </c>
      <c r="D27" s="15" t="s">
        <v>27</v>
      </c>
      <c r="E27" s="15">
        <v>7</v>
      </c>
      <c r="F27" s="14" t="s">
        <v>99</v>
      </c>
      <c r="G27" s="14">
        <v>0</v>
      </c>
      <c r="H27" s="14">
        <v>1</v>
      </c>
      <c r="I27" s="14">
        <v>0</v>
      </c>
      <c r="J27" s="14">
        <v>1</v>
      </c>
      <c r="K27" s="14">
        <v>0</v>
      </c>
      <c r="L27" s="14">
        <v>3</v>
      </c>
      <c r="M27" s="14">
        <v>1</v>
      </c>
      <c r="N27" s="14">
        <v>1</v>
      </c>
      <c r="O27" s="14">
        <v>0</v>
      </c>
      <c r="P27" s="14">
        <v>1</v>
      </c>
      <c r="Q27" s="14">
        <v>0</v>
      </c>
      <c r="R27" s="14">
        <v>0</v>
      </c>
      <c r="S27" s="14">
        <v>1</v>
      </c>
      <c r="T27" s="21">
        <v>7136.64</v>
      </c>
      <c r="U27" s="21"/>
      <c r="V27" s="21">
        <f>9121.43+0.38-T27</f>
        <v>1985.1699999999992</v>
      </c>
      <c r="W27" s="21"/>
      <c r="X27" s="21"/>
      <c r="Y27" s="21"/>
      <c r="Z27" s="26">
        <f aca="true" t="shared" si="7" ref="Z27:Z42">((T27*50%+U27*85%+V27)/L27)+W27</f>
        <v>1851.1633333333332</v>
      </c>
      <c r="AA27" s="26">
        <f aca="true" t="shared" si="8" ref="AA27:AA42">IF(O27=1,Z27*30%,0)</f>
        <v>0</v>
      </c>
      <c r="AB27" s="26">
        <f aca="true" t="shared" si="9" ref="AB27:AB42">IF(K27=1,Z27*20%,0)</f>
        <v>0</v>
      </c>
      <c r="AC27" s="26">
        <f aca="true" t="shared" si="10" ref="AC27:AC42">IF(R27=1,Z27*10%,0)</f>
        <v>0</v>
      </c>
      <c r="AD27" s="26">
        <f aca="true" t="shared" si="11" ref="AD27:AD42">IF(S27=1,Z27*30%,0)</f>
        <v>555.3489999999999</v>
      </c>
      <c r="AE27" s="26">
        <f aca="true" t="shared" si="12" ref="AE27:AE42">IF(I27=1,Z27*30%,0)</f>
        <v>0</v>
      </c>
      <c r="AF27" s="26">
        <f aca="true" t="shared" si="13" ref="AF27:AF42">Z27-AA27-AB27-AC27-AD27-AE27</f>
        <v>1295.8143333333333</v>
      </c>
      <c r="AG27" s="85">
        <v>27.5</v>
      </c>
      <c r="AH27" s="87" t="s">
        <v>26</v>
      </c>
      <c r="AI27" s="1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1"/>
    </row>
    <row r="28" spans="1:93" ht="27.75" thickBot="1" thickTop="1">
      <c r="A28" s="19"/>
      <c r="B28" s="20">
        <v>25</v>
      </c>
      <c r="C28" s="15">
        <v>15037</v>
      </c>
      <c r="D28" s="15" t="s">
        <v>27</v>
      </c>
      <c r="E28" s="15">
        <v>5</v>
      </c>
      <c r="F28" s="14" t="s">
        <v>94</v>
      </c>
      <c r="G28" s="14">
        <v>0</v>
      </c>
      <c r="H28" s="14">
        <v>1</v>
      </c>
      <c r="I28" s="14">
        <v>1</v>
      </c>
      <c r="J28" s="14">
        <v>1</v>
      </c>
      <c r="K28" s="14">
        <v>0</v>
      </c>
      <c r="L28" s="14">
        <v>4</v>
      </c>
      <c r="M28" s="14">
        <v>1</v>
      </c>
      <c r="N28" s="14">
        <v>1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21"/>
      <c r="U28" s="21"/>
      <c r="V28" s="21">
        <v>7700</v>
      </c>
      <c r="W28" s="21"/>
      <c r="X28" s="99"/>
      <c r="Y28" s="99"/>
      <c r="Z28" s="26">
        <f t="shared" si="7"/>
        <v>1925</v>
      </c>
      <c r="AA28" s="26">
        <f t="shared" si="8"/>
        <v>0</v>
      </c>
      <c r="AB28" s="26">
        <f t="shared" si="9"/>
        <v>0</v>
      </c>
      <c r="AC28" s="26">
        <f t="shared" si="10"/>
        <v>0</v>
      </c>
      <c r="AD28" s="26">
        <f t="shared" si="11"/>
        <v>0</v>
      </c>
      <c r="AE28" s="26">
        <f t="shared" si="12"/>
        <v>577.5</v>
      </c>
      <c r="AF28" s="26">
        <f t="shared" si="13"/>
        <v>1347.5</v>
      </c>
      <c r="AG28" s="100">
        <v>64.5</v>
      </c>
      <c r="AH28" s="86" t="s">
        <v>57</v>
      </c>
      <c r="AI28" s="87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1"/>
    </row>
    <row r="29" spans="1:92" s="98" customFormat="1" ht="19.5" thickBot="1" thickTop="1">
      <c r="A29" s="19"/>
      <c r="B29" s="20">
        <v>26</v>
      </c>
      <c r="C29" s="83">
        <v>15199</v>
      </c>
      <c r="D29" s="83" t="s">
        <v>24</v>
      </c>
      <c r="E29" s="83">
        <v>3</v>
      </c>
      <c r="F29" s="83" t="s">
        <v>169</v>
      </c>
      <c r="G29" s="20">
        <v>0</v>
      </c>
      <c r="H29" s="84">
        <v>1</v>
      </c>
      <c r="I29" s="84">
        <v>0</v>
      </c>
      <c r="J29" s="84">
        <v>1</v>
      </c>
      <c r="K29" s="20">
        <v>0</v>
      </c>
      <c r="L29" s="20">
        <v>5</v>
      </c>
      <c r="M29" s="84">
        <v>1</v>
      </c>
      <c r="N29" s="84">
        <v>1</v>
      </c>
      <c r="O29" s="84">
        <v>1</v>
      </c>
      <c r="P29" s="84">
        <v>1</v>
      </c>
      <c r="Q29" s="84">
        <v>0</v>
      </c>
      <c r="R29" s="84">
        <v>0</v>
      </c>
      <c r="S29" s="84">
        <v>0</v>
      </c>
      <c r="T29" s="91">
        <f>11349.2+8419.55</f>
        <v>19768.75</v>
      </c>
      <c r="U29" s="91"/>
      <c r="V29" s="91">
        <f>3.38+0.89</f>
        <v>4.27</v>
      </c>
      <c r="W29" s="91"/>
      <c r="X29" s="91"/>
      <c r="Y29" s="91"/>
      <c r="Z29" s="26">
        <f t="shared" si="7"/>
        <v>1977.729</v>
      </c>
      <c r="AA29" s="26">
        <f t="shared" si="8"/>
        <v>593.3187</v>
      </c>
      <c r="AB29" s="26">
        <f t="shared" si="9"/>
        <v>0</v>
      </c>
      <c r="AC29" s="26">
        <f t="shared" si="10"/>
        <v>0</v>
      </c>
      <c r="AD29" s="26">
        <f t="shared" si="11"/>
        <v>0</v>
      </c>
      <c r="AE29" s="26">
        <f t="shared" si="12"/>
        <v>0</v>
      </c>
      <c r="AF29" s="26">
        <f t="shared" si="13"/>
        <v>1384.4103</v>
      </c>
      <c r="AG29" s="85">
        <v>27</v>
      </c>
      <c r="AH29" s="86" t="s">
        <v>31</v>
      </c>
      <c r="AI29" s="89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</row>
    <row r="30" spans="1:93" ht="19.5" thickBot="1" thickTop="1">
      <c r="A30" s="19">
        <v>203</v>
      </c>
      <c r="B30" s="20">
        <v>27</v>
      </c>
      <c r="C30" s="15">
        <v>14040</v>
      </c>
      <c r="D30" s="15" t="s">
        <v>27</v>
      </c>
      <c r="E30" s="15">
        <v>7</v>
      </c>
      <c r="F30" s="14" t="s">
        <v>106</v>
      </c>
      <c r="G30" s="14">
        <v>0</v>
      </c>
      <c r="H30" s="14">
        <v>1</v>
      </c>
      <c r="I30" s="14">
        <v>1</v>
      </c>
      <c r="J30" s="14">
        <v>1</v>
      </c>
      <c r="K30" s="14">
        <v>0</v>
      </c>
      <c r="L30" s="14">
        <v>4</v>
      </c>
      <c r="M30" s="14">
        <v>1</v>
      </c>
      <c r="N30" s="14">
        <v>1</v>
      </c>
      <c r="O30" s="14">
        <v>1</v>
      </c>
      <c r="P30" s="14">
        <v>0</v>
      </c>
      <c r="Q30" s="14">
        <v>1</v>
      </c>
      <c r="R30" s="14">
        <v>0</v>
      </c>
      <c r="S30" s="14">
        <v>0</v>
      </c>
      <c r="T30" s="21">
        <v>8243.04</v>
      </c>
      <c r="U30" s="21"/>
      <c r="V30" s="21">
        <f>10847.72+8805-T30</f>
        <v>11409.68</v>
      </c>
      <c r="W30" s="21"/>
      <c r="X30" s="99"/>
      <c r="Y30" s="99"/>
      <c r="Z30" s="26">
        <f t="shared" si="7"/>
        <v>3882.8</v>
      </c>
      <c r="AA30" s="26">
        <f t="shared" si="8"/>
        <v>1164.84</v>
      </c>
      <c r="AB30" s="26">
        <f t="shared" si="9"/>
        <v>0</v>
      </c>
      <c r="AC30" s="26">
        <f t="shared" si="10"/>
        <v>0</v>
      </c>
      <c r="AD30" s="26">
        <f t="shared" si="11"/>
        <v>0</v>
      </c>
      <c r="AE30" s="26">
        <f t="shared" si="12"/>
        <v>1164.84</v>
      </c>
      <c r="AF30" s="26">
        <f t="shared" si="13"/>
        <v>1553.1200000000001</v>
      </c>
      <c r="AG30" s="100">
        <v>56.5</v>
      </c>
      <c r="AH30" s="86" t="s">
        <v>26</v>
      </c>
      <c r="AI30" s="86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1"/>
    </row>
    <row r="31" spans="1:93" ht="19.5" thickBot="1" thickTop="1">
      <c r="A31" s="19">
        <v>35</v>
      </c>
      <c r="B31" s="20">
        <v>28</v>
      </c>
      <c r="C31" s="15">
        <v>13549</v>
      </c>
      <c r="D31" s="15" t="s">
        <v>27</v>
      </c>
      <c r="E31" s="15">
        <v>9</v>
      </c>
      <c r="F31" s="14" t="s">
        <v>107</v>
      </c>
      <c r="G31" s="14">
        <v>0</v>
      </c>
      <c r="H31" s="14">
        <v>1</v>
      </c>
      <c r="I31" s="14">
        <v>1</v>
      </c>
      <c r="J31" s="14">
        <v>1</v>
      </c>
      <c r="K31" s="14">
        <v>0</v>
      </c>
      <c r="L31" s="14">
        <v>4</v>
      </c>
      <c r="M31" s="14">
        <v>1</v>
      </c>
      <c r="N31" s="14">
        <v>1</v>
      </c>
      <c r="O31" s="14">
        <v>1</v>
      </c>
      <c r="P31" s="14">
        <v>0</v>
      </c>
      <c r="Q31" s="14">
        <v>1</v>
      </c>
      <c r="R31" s="14">
        <v>0</v>
      </c>
      <c r="S31" s="14">
        <v>0</v>
      </c>
      <c r="T31" s="21">
        <v>8243.04</v>
      </c>
      <c r="U31" s="21"/>
      <c r="V31" s="21">
        <v>11409.68</v>
      </c>
      <c r="W31" s="21"/>
      <c r="X31" s="99"/>
      <c r="Y31" s="99"/>
      <c r="Z31" s="26">
        <f t="shared" si="7"/>
        <v>3882.8</v>
      </c>
      <c r="AA31" s="26">
        <f t="shared" si="8"/>
        <v>1164.84</v>
      </c>
      <c r="AB31" s="26">
        <f t="shared" si="9"/>
        <v>0</v>
      </c>
      <c r="AC31" s="26">
        <f t="shared" si="10"/>
        <v>0</v>
      </c>
      <c r="AD31" s="26">
        <f t="shared" si="11"/>
        <v>0</v>
      </c>
      <c r="AE31" s="26">
        <f t="shared" si="12"/>
        <v>1164.84</v>
      </c>
      <c r="AF31" s="26">
        <f t="shared" si="13"/>
        <v>1553.1200000000001</v>
      </c>
      <c r="AG31" s="100">
        <v>46</v>
      </c>
      <c r="AH31" s="86" t="s">
        <v>26</v>
      </c>
      <c r="AI31" s="86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1"/>
    </row>
    <row r="32" spans="1:93" s="98" customFormat="1" ht="19.5" thickBot="1" thickTop="1">
      <c r="A32" s="95"/>
      <c r="B32" s="20">
        <v>29</v>
      </c>
      <c r="C32" s="83">
        <v>15112</v>
      </c>
      <c r="D32" s="83" t="s">
        <v>24</v>
      </c>
      <c r="E32" s="83">
        <v>5</v>
      </c>
      <c r="F32" s="83" t="s">
        <v>103</v>
      </c>
      <c r="G32" s="109">
        <v>0</v>
      </c>
      <c r="H32" s="110">
        <v>1</v>
      </c>
      <c r="I32" s="110">
        <v>0</v>
      </c>
      <c r="J32" s="110">
        <v>1</v>
      </c>
      <c r="K32" s="109">
        <v>0</v>
      </c>
      <c r="L32" s="109">
        <v>7</v>
      </c>
      <c r="M32" s="110">
        <v>1</v>
      </c>
      <c r="N32" s="110">
        <v>1</v>
      </c>
      <c r="O32" s="110">
        <v>1</v>
      </c>
      <c r="P32" s="110">
        <v>1</v>
      </c>
      <c r="Q32" s="110">
        <v>0</v>
      </c>
      <c r="R32" s="110">
        <v>0</v>
      </c>
      <c r="S32" s="110">
        <v>0</v>
      </c>
      <c r="T32" s="111">
        <v>13787.37</v>
      </c>
      <c r="U32" s="111"/>
      <c r="V32" s="111">
        <f>13810.49+10651.78-T32</f>
        <v>10674.9</v>
      </c>
      <c r="W32" s="111"/>
      <c r="X32" s="102"/>
      <c r="Y32" s="102"/>
      <c r="Z32" s="112">
        <f t="shared" si="7"/>
        <v>2509.797857142857</v>
      </c>
      <c r="AA32" s="112">
        <f t="shared" si="8"/>
        <v>752.9393571428571</v>
      </c>
      <c r="AB32" s="112">
        <f t="shared" si="9"/>
        <v>0</v>
      </c>
      <c r="AC32" s="112">
        <f t="shared" si="10"/>
        <v>0</v>
      </c>
      <c r="AD32" s="112">
        <f t="shared" si="11"/>
        <v>0</v>
      </c>
      <c r="AE32" s="112">
        <f t="shared" si="12"/>
        <v>0</v>
      </c>
      <c r="AF32" s="112">
        <f t="shared" si="13"/>
        <v>1756.8584999999998</v>
      </c>
      <c r="AG32" s="100">
        <v>26</v>
      </c>
      <c r="AH32" s="24" t="s">
        <v>49</v>
      </c>
      <c r="AI32" s="113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</row>
    <row r="33" spans="1:93" ht="19.5" thickBot="1" thickTop="1">
      <c r="A33" s="19">
        <v>184</v>
      </c>
      <c r="B33" s="20">
        <v>30</v>
      </c>
      <c r="C33" s="83">
        <v>15250</v>
      </c>
      <c r="D33" s="83" t="s">
        <v>27</v>
      </c>
      <c r="E33" s="83">
        <v>3</v>
      </c>
      <c r="F33" s="83" t="s">
        <v>88</v>
      </c>
      <c r="G33" s="20">
        <v>0</v>
      </c>
      <c r="H33" s="84">
        <v>1</v>
      </c>
      <c r="I33" s="84">
        <v>1</v>
      </c>
      <c r="J33" s="84">
        <v>1</v>
      </c>
      <c r="K33" s="20">
        <v>0</v>
      </c>
      <c r="L33" s="20">
        <v>4</v>
      </c>
      <c r="M33" s="84">
        <v>1</v>
      </c>
      <c r="N33" s="84">
        <v>1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91"/>
      <c r="U33" s="91"/>
      <c r="V33" s="91">
        <f>9140+1127.36</f>
        <v>10267.36</v>
      </c>
      <c r="W33" s="91"/>
      <c r="X33" s="91"/>
      <c r="Y33" s="91"/>
      <c r="Z33" s="26">
        <f t="shared" si="7"/>
        <v>2566.84</v>
      </c>
      <c r="AA33" s="26">
        <f t="shared" si="8"/>
        <v>0</v>
      </c>
      <c r="AB33" s="26">
        <f t="shared" si="9"/>
        <v>0</v>
      </c>
      <c r="AC33" s="26">
        <f t="shared" si="10"/>
        <v>0</v>
      </c>
      <c r="AD33" s="26">
        <f t="shared" si="11"/>
        <v>0</v>
      </c>
      <c r="AE33" s="26">
        <f t="shared" si="12"/>
        <v>770.052</v>
      </c>
      <c r="AF33" s="26">
        <f t="shared" si="13"/>
        <v>1796.788</v>
      </c>
      <c r="AG33" s="85">
        <v>35</v>
      </c>
      <c r="AH33" s="86" t="s">
        <v>89</v>
      </c>
      <c r="AI33" s="24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</row>
    <row r="34" spans="1:93" ht="22.5" customHeight="1" thickBot="1" thickTop="1">
      <c r="A34" s="19">
        <v>199</v>
      </c>
      <c r="B34" s="20">
        <v>31</v>
      </c>
      <c r="C34" s="83">
        <v>15171</v>
      </c>
      <c r="D34" s="83" t="s">
        <v>24</v>
      </c>
      <c r="E34" s="83">
        <v>3</v>
      </c>
      <c r="F34" s="83" t="s">
        <v>135</v>
      </c>
      <c r="G34" s="84">
        <v>0</v>
      </c>
      <c r="H34" s="84">
        <v>1</v>
      </c>
      <c r="I34" s="84">
        <v>0</v>
      </c>
      <c r="J34" s="84">
        <v>1</v>
      </c>
      <c r="K34" s="14">
        <v>0</v>
      </c>
      <c r="L34" s="14">
        <v>3</v>
      </c>
      <c r="M34" s="14">
        <v>1</v>
      </c>
      <c r="N34" s="84">
        <v>1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21">
        <v>9538.42</v>
      </c>
      <c r="U34" s="21"/>
      <c r="V34" s="21">
        <f>10292.23-T34</f>
        <v>753.8099999999995</v>
      </c>
      <c r="W34" s="21"/>
      <c r="X34" s="21"/>
      <c r="Y34" s="21"/>
      <c r="Z34" s="26">
        <f t="shared" si="7"/>
        <v>1841.0066666666664</v>
      </c>
      <c r="AA34" s="26">
        <f t="shared" si="8"/>
        <v>0</v>
      </c>
      <c r="AB34" s="26">
        <f t="shared" si="9"/>
        <v>0</v>
      </c>
      <c r="AC34" s="26">
        <f t="shared" si="10"/>
        <v>0</v>
      </c>
      <c r="AD34" s="26">
        <f t="shared" si="11"/>
        <v>0</v>
      </c>
      <c r="AE34" s="26">
        <f t="shared" si="12"/>
        <v>0</v>
      </c>
      <c r="AF34" s="26">
        <f t="shared" si="13"/>
        <v>1841.0066666666664</v>
      </c>
      <c r="AG34" s="85">
        <v>25</v>
      </c>
      <c r="AH34" s="114" t="s">
        <v>49</v>
      </c>
      <c r="AI34" s="94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</row>
    <row r="35" spans="1:93" ht="22.5" customHeight="1" thickBot="1" thickTop="1">
      <c r="A35" s="19"/>
      <c r="B35" s="20">
        <v>32</v>
      </c>
      <c r="C35" s="15">
        <v>15157</v>
      </c>
      <c r="D35" s="15" t="s">
        <v>24</v>
      </c>
      <c r="E35" s="15">
        <v>3</v>
      </c>
      <c r="F35" s="14" t="s">
        <v>131</v>
      </c>
      <c r="G35" s="14">
        <v>0</v>
      </c>
      <c r="H35" s="14">
        <v>1</v>
      </c>
      <c r="I35" s="14">
        <v>1</v>
      </c>
      <c r="J35" s="14">
        <v>1</v>
      </c>
      <c r="K35" s="14">
        <v>0</v>
      </c>
      <c r="L35" s="14">
        <v>4</v>
      </c>
      <c r="M35" s="14">
        <v>1</v>
      </c>
      <c r="N35" s="14">
        <v>1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21"/>
      <c r="U35" s="21">
        <v>1644.74</v>
      </c>
      <c r="V35" s="21">
        <f>11339.83-U35</f>
        <v>9695.09</v>
      </c>
      <c r="W35" s="21"/>
      <c r="X35" s="21"/>
      <c r="Y35" s="21"/>
      <c r="Z35" s="26">
        <f t="shared" si="7"/>
        <v>2773.27975</v>
      </c>
      <c r="AA35" s="26">
        <f t="shared" si="8"/>
        <v>0</v>
      </c>
      <c r="AB35" s="26">
        <f t="shared" si="9"/>
        <v>0</v>
      </c>
      <c r="AC35" s="26">
        <f t="shared" si="10"/>
        <v>0</v>
      </c>
      <c r="AD35" s="26">
        <f t="shared" si="11"/>
        <v>0</v>
      </c>
      <c r="AE35" s="26">
        <f t="shared" si="12"/>
        <v>831.983925</v>
      </c>
      <c r="AF35" s="26">
        <f t="shared" si="13"/>
        <v>1941.2958250000001</v>
      </c>
      <c r="AG35" s="53">
        <v>47</v>
      </c>
      <c r="AH35" s="86" t="s">
        <v>76</v>
      </c>
      <c r="AI35" s="22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</row>
    <row r="36" spans="2:93" s="92" customFormat="1" ht="19.5" thickBot="1" thickTop="1">
      <c r="B36" s="20">
        <v>33</v>
      </c>
      <c r="C36" s="83">
        <v>14010</v>
      </c>
      <c r="D36" s="83" t="s">
        <v>27</v>
      </c>
      <c r="E36" s="83">
        <v>7</v>
      </c>
      <c r="F36" s="83" t="s">
        <v>102</v>
      </c>
      <c r="G36" s="20">
        <v>0</v>
      </c>
      <c r="H36" s="84">
        <v>1</v>
      </c>
      <c r="I36" s="84">
        <v>0</v>
      </c>
      <c r="J36" s="84">
        <v>1</v>
      </c>
      <c r="K36" s="20">
        <v>0</v>
      </c>
      <c r="L36" s="20">
        <v>4</v>
      </c>
      <c r="M36" s="84">
        <v>1</v>
      </c>
      <c r="N36" s="84">
        <v>1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91">
        <f>8760+1545.76</f>
        <v>10305.76</v>
      </c>
      <c r="U36" s="91"/>
      <c r="V36" s="91">
        <f>4950-1545.76</f>
        <v>3404.24</v>
      </c>
      <c r="W36" s="91"/>
      <c r="X36" s="91"/>
      <c r="Y36" s="91"/>
      <c r="Z36" s="26">
        <f t="shared" si="7"/>
        <v>2139.2799999999997</v>
      </c>
      <c r="AA36" s="26">
        <f t="shared" si="8"/>
        <v>0</v>
      </c>
      <c r="AB36" s="26">
        <f t="shared" si="9"/>
        <v>0</v>
      </c>
      <c r="AC36" s="26">
        <f t="shared" si="10"/>
        <v>0</v>
      </c>
      <c r="AD36" s="26">
        <f t="shared" si="11"/>
        <v>0</v>
      </c>
      <c r="AE36" s="26">
        <f t="shared" si="12"/>
        <v>0</v>
      </c>
      <c r="AF36" s="26">
        <f t="shared" si="13"/>
        <v>2139.2799999999997</v>
      </c>
      <c r="AG36" s="85">
        <v>63.5</v>
      </c>
      <c r="AH36" s="89" t="s">
        <v>43</v>
      </c>
      <c r="AI36" s="87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</row>
    <row r="37" spans="2:93" s="92" customFormat="1" ht="19.5" thickBot="1" thickTop="1">
      <c r="B37" s="20">
        <v>34</v>
      </c>
      <c r="C37" s="83">
        <v>15278</v>
      </c>
      <c r="D37" s="83" t="s">
        <v>24</v>
      </c>
      <c r="E37" s="83">
        <v>3</v>
      </c>
      <c r="F37" s="83" t="s">
        <v>105</v>
      </c>
      <c r="G37" s="84">
        <v>0</v>
      </c>
      <c r="H37" s="84">
        <v>1</v>
      </c>
      <c r="I37" s="84">
        <v>1</v>
      </c>
      <c r="J37" s="84">
        <v>1</v>
      </c>
      <c r="K37" s="14">
        <v>0</v>
      </c>
      <c r="L37" s="14">
        <v>6</v>
      </c>
      <c r="M37" s="14">
        <v>1</v>
      </c>
      <c r="N37" s="84">
        <v>1</v>
      </c>
      <c r="O37" s="83">
        <v>0</v>
      </c>
      <c r="P37" s="84">
        <v>1</v>
      </c>
      <c r="Q37" s="84">
        <v>0</v>
      </c>
      <c r="R37" s="84">
        <v>0</v>
      </c>
      <c r="S37" s="84">
        <v>0</v>
      </c>
      <c r="T37" s="21"/>
      <c r="U37" s="21">
        <v>2936.19</v>
      </c>
      <c r="V37" s="21">
        <f>14936.2+4320-U37</f>
        <v>16320.01</v>
      </c>
      <c r="W37" s="21"/>
      <c r="X37" s="21"/>
      <c r="Y37" s="21"/>
      <c r="Z37" s="26">
        <f t="shared" si="7"/>
        <v>3135.9619166666666</v>
      </c>
      <c r="AA37" s="26">
        <f t="shared" si="8"/>
        <v>0</v>
      </c>
      <c r="AB37" s="26">
        <f t="shared" si="9"/>
        <v>0</v>
      </c>
      <c r="AC37" s="26">
        <f t="shared" si="10"/>
        <v>0</v>
      </c>
      <c r="AD37" s="26">
        <f t="shared" si="11"/>
        <v>0</v>
      </c>
      <c r="AE37" s="26">
        <f t="shared" si="12"/>
        <v>940.7885749999999</v>
      </c>
      <c r="AF37" s="26">
        <f t="shared" si="13"/>
        <v>2195.1733416666666</v>
      </c>
      <c r="AG37" s="53">
        <v>48</v>
      </c>
      <c r="AH37" s="86" t="s">
        <v>73</v>
      </c>
      <c r="AI37" s="22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</row>
    <row r="38" spans="2:93" s="92" customFormat="1" ht="19.5" thickBot="1" thickTop="1">
      <c r="B38" s="20">
        <v>35</v>
      </c>
      <c r="C38" s="83">
        <v>15013</v>
      </c>
      <c r="D38" s="83" t="s">
        <v>27</v>
      </c>
      <c r="E38" s="83">
        <v>5</v>
      </c>
      <c r="F38" s="83" t="s">
        <v>129</v>
      </c>
      <c r="G38" s="84">
        <v>0</v>
      </c>
      <c r="H38" s="96">
        <v>1</v>
      </c>
      <c r="I38" s="96">
        <v>0</v>
      </c>
      <c r="J38" s="96">
        <v>1</v>
      </c>
      <c r="K38" s="14">
        <v>0</v>
      </c>
      <c r="L38" s="14">
        <v>5</v>
      </c>
      <c r="M38" s="14">
        <v>1</v>
      </c>
      <c r="N38" s="96">
        <v>1</v>
      </c>
      <c r="O38" s="84">
        <v>1</v>
      </c>
      <c r="P38" s="84">
        <v>0</v>
      </c>
      <c r="Q38" s="84">
        <v>1</v>
      </c>
      <c r="R38" s="84">
        <v>0</v>
      </c>
      <c r="S38" s="84">
        <v>0</v>
      </c>
      <c r="T38" s="21">
        <f>14169.61+15281.9</f>
        <v>29451.510000000002</v>
      </c>
      <c r="U38" s="21"/>
      <c r="V38" s="21">
        <f>14980+15856.39-T38</f>
        <v>1384.8799999999974</v>
      </c>
      <c r="W38" s="21"/>
      <c r="X38" s="99"/>
      <c r="Y38" s="99"/>
      <c r="Z38" s="26">
        <f t="shared" si="7"/>
        <v>3222.1269999999995</v>
      </c>
      <c r="AA38" s="26">
        <f t="shared" si="8"/>
        <v>966.6380999999998</v>
      </c>
      <c r="AB38" s="26">
        <f t="shared" si="9"/>
        <v>0</v>
      </c>
      <c r="AC38" s="26">
        <f t="shared" si="10"/>
        <v>0</v>
      </c>
      <c r="AD38" s="26">
        <f t="shared" si="11"/>
        <v>0</v>
      </c>
      <c r="AE38" s="26">
        <f t="shared" si="12"/>
        <v>0</v>
      </c>
      <c r="AF38" s="26">
        <f t="shared" si="13"/>
        <v>2255.4889</v>
      </c>
      <c r="AG38" s="100">
        <v>28</v>
      </c>
      <c r="AH38" s="22" t="s">
        <v>49</v>
      </c>
      <c r="AI38" s="89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</row>
    <row r="39" spans="2:93" s="92" customFormat="1" ht="19.5" thickBot="1" thickTop="1">
      <c r="B39" s="20">
        <v>36</v>
      </c>
      <c r="C39" s="83">
        <v>14413</v>
      </c>
      <c r="D39" s="83" t="s">
        <v>24</v>
      </c>
      <c r="E39" s="83">
        <v>7</v>
      </c>
      <c r="F39" s="83" t="s">
        <v>130</v>
      </c>
      <c r="G39" s="84">
        <v>0</v>
      </c>
      <c r="H39" s="84">
        <v>1</v>
      </c>
      <c r="I39" s="84">
        <v>0</v>
      </c>
      <c r="J39" s="84">
        <v>1</v>
      </c>
      <c r="K39" s="14">
        <v>0</v>
      </c>
      <c r="L39" s="14">
        <v>4</v>
      </c>
      <c r="M39" s="14">
        <v>1</v>
      </c>
      <c r="N39" s="84">
        <v>1</v>
      </c>
      <c r="O39" s="96">
        <v>0</v>
      </c>
      <c r="P39" s="96">
        <v>0</v>
      </c>
      <c r="Q39" s="84">
        <v>0</v>
      </c>
      <c r="R39" s="84">
        <v>0</v>
      </c>
      <c r="S39" s="96">
        <v>0</v>
      </c>
      <c r="T39" s="106"/>
      <c r="U39" s="21">
        <v>1247.85</v>
      </c>
      <c r="V39" s="21">
        <f>5854.13+3577.28-U39</f>
        <v>8183.5599999999995</v>
      </c>
      <c r="W39" s="21"/>
      <c r="X39" s="21"/>
      <c r="Y39" s="21"/>
      <c r="Z39" s="26">
        <f t="shared" si="7"/>
        <v>2311.058125</v>
      </c>
      <c r="AA39" s="26">
        <f t="shared" si="8"/>
        <v>0</v>
      </c>
      <c r="AB39" s="26">
        <f t="shared" si="9"/>
        <v>0</v>
      </c>
      <c r="AC39" s="26">
        <f t="shared" si="10"/>
        <v>0</v>
      </c>
      <c r="AD39" s="26">
        <f t="shared" si="11"/>
        <v>0</v>
      </c>
      <c r="AE39" s="26">
        <f t="shared" si="12"/>
        <v>0</v>
      </c>
      <c r="AF39" s="26">
        <f t="shared" si="13"/>
        <v>2311.058125</v>
      </c>
      <c r="AG39" s="85">
        <v>39.75</v>
      </c>
      <c r="AH39" s="87" t="s">
        <v>53</v>
      </c>
      <c r="AI39" s="87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</row>
    <row r="40" spans="2:93" s="92" customFormat="1" ht="19.5" thickBot="1" thickTop="1">
      <c r="B40" s="20">
        <v>37</v>
      </c>
      <c r="C40" s="83">
        <v>15036</v>
      </c>
      <c r="D40" s="83" t="s">
        <v>27</v>
      </c>
      <c r="E40" s="83">
        <v>5</v>
      </c>
      <c r="F40" s="83" t="s">
        <v>118</v>
      </c>
      <c r="G40" s="20">
        <v>0</v>
      </c>
      <c r="H40" s="84">
        <v>1</v>
      </c>
      <c r="I40" s="84">
        <v>0</v>
      </c>
      <c r="J40" s="84">
        <v>1</v>
      </c>
      <c r="K40" s="20">
        <v>0</v>
      </c>
      <c r="L40" s="20">
        <v>4</v>
      </c>
      <c r="M40" s="84">
        <v>1</v>
      </c>
      <c r="N40" s="84">
        <v>1</v>
      </c>
      <c r="O40" s="84">
        <v>1</v>
      </c>
      <c r="P40" s="84">
        <v>0</v>
      </c>
      <c r="Q40" s="84">
        <v>1</v>
      </c>
      <c r="R40" s="84">
        <v>0</v>
      </c>
      <c r="S40" s="84">
        <v>0</v>
      </c>
      <c r="T40" s="91">
        <f>16499.64+1420.14</f>
        <v>17919.78</v>
      </c>
      <c r="U40" s="91"/>
      <c r="V40" s="91">
        <f>16509.35+5859.38-T40</f>
        <v>4448.950000000001</v>
      </c>
      <c r="W40" s="91"/>
      <c r="X40" s="102"/>
      <c r="Y40" s="102"/>
      <c r="Z40" s="26">
        <f t="shared" si="7"/>
        <v>3352.21</v>
      </c>
      <c r="AA40" s="26">
        <f t="shared" si="8"/>
        <v>1005.663</v>
      </c>
      <c r="AB40" s="26">
        <f t="shared" si="9"/>
        <v>0</v>
      </c>
      <c r="AC40" s="26">
        <f t="shared" si="10"/>
        <v>0</v>
      </c>
      <c r="AD40" s="26">
        <f t="shared" si="11"/>
        <v>0</v>
      </c>
      <c r="AE40" s="26">
        <f t="shared" si="12"/>
        <v>0</v>
      </c>
      <c r="AF40" s="26">
        <f t="shared" si="13"/>
        <v>2346.547</v>
      </c>
      <c r="AG40" s="100">
        <v>54</v>
      </c>
      <c r="AH40" s="89" t="s">
        <v>57</v>
      </c>
      <c r="AI40" s="22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</row>
    <row r="41" spans="2:93" s="92" customFormat="1" ht="19.5" thickBot="1" thickTop="1">
      <c r="B41" s="20">
        <v>38</v>
      </c>
      <c r="C41" s="83">
        <v>15046</v>
      </c>
      <c r="D41" s="83" t="s">
        <v>27</v>
      </c>
      <c r="E41" s="83">
        <v>5</v>
      </c>
      <c r="F41" s="83" t="s">
        <v>120</v>
      </c>
      <c r="G41" s="84">
        <v>0</v>
      </c>
      <c r="H41" s="84">
        <v>1</v>
      </c>
      <c r="I41" s="84">
        <v>1</v>
      </c>
      <c r="J41" s="84">
        <v>1</v>
      </c>
      <c r="K41" s="14">
        <v>0</v>
      </c>
      <c r="L41" s="14">
        <v>4</v>
      </c>
      <c r="M41" s="14">
        <v>1</v>
      </c>
      <c r="N41" s="84">
        <v>1</v>
      </c>
      <c r="O41" s="83">
        <v>0</v>
      </c>
      <c r="P41" s="84">
        <v>0</v>
      </c>
      <c r="Q41" s="84">
        <v>1</v>
      </c>
      <c r="R41" s="84">
        <v>0</v>
      </c>
      <c r="S41" s="20">
        <v>0</v>
      </c>
      <c r="T41" s="21">
        <v>3230.08</v>
      </c>
      <c r="U41" s="21"/>
      <c r="V41" s="21">
        <f>7073.15+8580-T41</f>
        <v>12423.07</v>
      </c>
      <c r="W41" s="21"/>
      <c r="X41" s="99"/>
      <c r="Y41" s="99"/>
      <c r="Z41" s="26">
        <f t="shared" si="7"/>
        <v>3509.5275</v>
      </c>
      <c r="AA41" s="26">
        <f t="shared" si="8"/>
        <v>0</v>
      </c>
      <c r="AB41" s="26">
        <f t="shared" si="9"/>
        <v>0</v>
      </c>
      <c r="AC41" s="26">
        <f t="shared" si="10"/>
        <v>0</v>
      </c>
      <c r="AD41" s="26">
        <f t="shared" si="11"/>
        <v>0</v>
      </c>
      <c r="AE41" s="26">
        <f t="shared" si="12"/>
        <v>1052.85825</v>
      </c>
      <c r="AF41" s="26">
        <f t="shared" si="13"/>
        <v>2456.66925</v>
      </c>
      <c r="AG41" s="100">
        <v>51</v>
      </c>
      <c r="AH41" s="115" t="s">
        <v>59</v>
      </c>
      <c r="AI41" s="116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</row>
    <row r="42" spans="2:93" s="92" customFormat="1" ht="19.5" thickBot="1" thickTop="1">
      <c r="B42" s="20">
        <v>39</v>
      </c>
      <c r="C42" s="83">
        <v>15209</v>
      </c>
      <c r="D42" s="83" t="s">
        <v>24</v>
      </c>
      <c r="E42" s="83">
        <v>3</v>
      </c>
      <c r="F42" s="83" t="s">
        <v>165</v>
      </c>
      <c r="G42" s="20">
        <v>0</v>
      </c>
      <c r="H42" s="84">
        <v>1</v>
      </c>
      <c r="I42" s="84">
        <v>0</v>
      </c>
      <c r="J42" s="84">
        <v>1</v>
      </c>
      <c r="K42" s="20">
        <v>0</v>
      </c>
      <c r="L42" s="20">
        <v>3</v>
      </c>
      <c r="M42" s="84">
        <v>1</v>
      </c>
      <c r="N42" s="84">
        <v>1</v>
      </c>
      <c r="O42" s="84">
        <v>0</v>
      </c>
      <c r="P42" s="84">
        <v>0</v>
      </c>
      <c r="Q42" s="84">
        <v>1</v>
      </c>
      <c r="R42" s="84">
        <v>1</v>
      </c>
      <c r="S42" s="84">
        <v>0</v>
      </c>
      <c r="T42" s="91"/>
      <c r="U42" s="91"/>
      <c r="V42" s="91">
        <v>8345</v>
      </c>
      <c r="W42" s="91"/>
      <c r="X42" s="91"/>
      <c r="Y42" s="91"/>
      <c r="Z42" s="26">
        <f t="shared" si="7"/>
        <v>2781.6666666666665</v>
      </c>
      <c r="AA42" s="26">
        <f t="shared" si="8"/>
        <v>0</v>
      </c>
      <c r="AB42" s="26">
        <f t="shared" si="9"/>
        <v>0</v>
      </c>
      <c r="AC42" s="26">
        <f t="shared" si="10"/>
        <v>278.1666666666667</v>
      </c>
      <c r="AD42" s="26">
        <f t="shared" si="11"/>
        <v>0</v>
      </c>
      <c r="AE42" s="26">
        <f t="shared" si="12"/>
        <v>0</v>
      </c>
      <c r="AF42" s="26">
        <f t="shared" si="13"/>
        <v>2503.5</v>
      </c>
      <c r="AG42" s="85">
        <v>44.5</v>
      </c>
      <c r="AH42" s="114" t="s">
        <v>25</v>
      </c>
      <c r="AI42" s="94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</row>
    <row r="43" spans="2:93" s="92" customFormat="1" ht="19.5" thickBot="1" thickTop="1">
      <c r="B43" s="20">
        <v>40</v>
      </c>
      <c r="C43" s="83">
        <v>15100</v>
      </c>
      <c r="D43" s="83" t="s">
        <v>24</v>
      </c>
      <c r="E43" s="83">
        <v>5</v>
      </c>
      <c r="F43" s="83" t="s">
        <v>123</v>
      </c>
      <c r="G43" s="20">
        <v>0</v>
      </c>
      <c r="H43" s="84">
        <v>1</v>
      </c>
      <c r="I43" s="84">
        <v>0</v>
      </c>
      <c r="J43" s="84">
        <v>1</v>
      </c>
      <c r="K43" s="20">
        <v>0</v>
      </c>
      <c r="L43" s="20">
        <v>5</v>
      </c>
      <c r="M43" s="84">
        <v>1</v>
      </c>
      <c r="N43" s="84">
        <v>1</v>
      </c>
      <c r="O43" s="84">
        <v>0</v>
      </c>
      <c r="P43" s="84">
        <v>0</v>
      </c>
      <c r="Q43" s="84">
        <v>1</v>
      </c>
      <c r="R43" s="84">
        <v>0</v>
      </c>
      <c r="S43" s="84">
        <v>0</v>
      </c>
      <c r="T43" s="91">
        <f>15300.28-15+9887.37</f>
        <v>25172.65</v>
      </c>
      <c r="U43" s="91">
        <v>15</v>
      </c>
      <c r="V43" s="91"/>
      <c r="W43" s="91"/>
      <c r="X43" s="102"/>
      <c r="Y43" s="102"/>
      <c r="Z43" s="26">
        <f aca="true" t="shared" si="14" ref="Z43:Z61">((T43*50%+U43*85%+V43)/L43)+W43</f>
        <v>2519.815</v>
      </c>
      <c r="AA43" s="26">
        <f aca="true" t="shared" si="15" ref="AA43:AA61">IF(O43=1,Z43*30%,0)</f>
        <v>0</v>
      </c>
      <c r="AB43" s="26">
        <f aca="true" t="shared" si="16" ref="AB43:AB61">IF(K43=1,Z43*20%,0)</f>
        <v>0</v>
      </c>
      <c r="AC43" s="26">
        <f aca="true" t="shared" si="17" ref="AC43:AC61">IF(R43=1,Z43*10%,0)</f>
        <v>0</v>
      </c>
      <c r="AD43" s="26">
        <f aca="true" t="shared" si="18" ref="AD43:AD61">IF(S43=1,Z43*30%,0)</f>
        <v>0</v>
      </c>
      <c r="AE43" s="26">
        <f aca="true" t="shared" si="19" ref="AE43:AE61">IF(I43=1,Z43*30%,0)</f>
        <v>0</v>
      </c>
      <c r="AF43" s="26">
        <f aca="true" t="shared" si="20" ref="AF43:AF61">Z43-AA43-AB43-AC43-AD43-AE43</f>
        <v>2519.815</v>
      </c>
      <c r="AG43" s="100">
        <v>66</v>
      </c>
      <c r="AH43" s="87" t="s">
        <v>60</v>
      </c>
      <c r="AI43" s="87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</row>
    <row r="44" spans="2:93" s="92" customFormat="1" ht="19.5" thickBot="1" thickTop="1">
      <c r="B44" s="20">
        <v>41</v>
      </c>
      <c r="C44" s="83">
        <v>13962</v>
      </c>
      <c r="D44" s="83" t="s">
        <v>27</v>
      </c>
      <c r="E44" s="83">
        <v>7</v>
      </c>
      <c r="F44" s="83" t="s">
        <v>109</v>
      </c>
      <c r="G44" s="84">
        <v>0</v>
      </c>
      <c r="H44" s="84">
        <v>1</v>
      </c>
      <c r="I44" s="84">
        <v>0</v>
      </c>
      <c r="J44" s="84">
        <v>1</v>
      </c>
      <c r="K44" s="14">
        <v>0</v>
      </c>
      <c r="L44" s="14">
        <v>4</v>
      </c>
      <c r="M44" s="14">
        <v>1</v>
      </c>
      <c r="N44" s="84">
        <v>1</v>
      </c>
      <c r="O44" s="84">
        <v>0</v>
      </c>
      <c r="P44" s="84">
        <v>0</v>
      </c>
      <c r="Q44" s="84">
        <v>1</v>
      </c>
      <c r="R44" s="84">
        <v>0</v>
      </c>
      <c r="S44" s="84">
        <v>0</v>
      </c>
      <c r="T44" s="21">
        <v>1961.48</v>
      </c>
      <c r="U44" s="21"/>
      <c r="V44" s="21">
        <f>5300+5765-T44</f>
        <v>9103.52</v>
      </c>
      <c r="W44" s="21"/>
      <c r="X44" s="21"/>
      <c r="Y44" s="21"/>
      <c r="Z44" s="26">
        <f t="shared" si="14"/>
        <v>2521.065</v>
      </c>
      <c r="AA44" s="26">
        <f t="shared" si="15"/>
        <v>0</v>
      </c>
      <c r="AB44" s="26">
        <f t="shared" si="16"/>
        <v>0</v>
      </c>
      <c r="AC44" s="26">
        <f t="shared" si="17"/>
        <v>0</v>
      </c>
      <c r="AD44" s="26">
        <f t="shared" si="18"/>
        <v>0</v>
      </c>
      <c r="AE44" s="26">
        <f t="shared" si="19"/>
        <v>0</v>
      </c>
      <c r="AF44" s="26">
        <f t="shared" si="20"/>
        <v>2521.065</v>
      </c>
      <c r="AG44" s="85">
        <v>31.5</v>
      </c>
      <c r="AH44" s="96" t="s">
        <v>45</v>
      </c>
      <c r="AI44" s="96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</row>
    <row r="45" spans="2:93" s="92" customFormat="1" ht="19.5" thickBot="1" thickTop="1">
      <c r="B45" s="20">
        <v>42</v>
      </c>
      <c r="C45" s="117">
        <v>13907</v>
      </c>
      <c r="D45" s="117" t="s">
        <v>27</v>
      </c>
      <c r="E45" s="117">
        <v>7</v>
      </c>
      <c r="F45" s="117" t="s">
        <v>121</v>
      </c>
      <c r="G45" s="110">
        <v>0</v>
      </c>
      <c r="H45" s="110">
        <v>1</v>
      </c>
      <c r="I45" s="110">
        <v>0</v>
      </c>
      <c r="J45" s="110">
        <v>1</v>
      </c>
      <c r="K45" s="118">
        <v>0</v>
      </c>
      <c r="L45" s="118">
        <v>3</v>
      </c>
      <c r="M45" s="118">
        <v>1</v>
      </c>
      <c r="N45" s="110">
        <v>1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9">
        <v>950.85</v>
      </c>
      <c r="U45" s="119"/>
      <c r="V45" s="119">
        <f>8540-T45</f>
        <v>7589.15</v>
      </c>
      <c r="W45" s="119"/>
      <c r="X45" s="119"/>
      <c r="Y45" s="119"/>
      <c r="Z45" s="112">
        <f t="shared" si="14"/>
        <v>2688.1916666666666</v>
      </c>
      <c r="AA45" s="112">
        <f t="shared" si="15"/>
        <v>0</v>
      </c>
      <c r="AB45" s="112">
        <f t="shared" si="16"/>
        <v>0</v>
      </c>
      <c r="AC45" s="112">
        <f t="shared" si="17"/>
        <v>0</v>
      </c>
      <c r="AD45" s="112">
        <f t="shared" si="18"/>
        <v>0</v>
      </c>
      <c r="AE45" s="112">
        <f t="shared" si="19"/>
        <v>0</v>
      </c>
      <c r="AF45" s="112">
        <f t="shared" si="20"/>
        <v>2688.1916666666666</v>
      </c>
      <c r="AG45" s="100">
        <v>41</v>
      </c>
      <c r="AH45" s="90" t="s">
        <v>26</v>
      </c>
      <c r="AI45" s="113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</row>
    <row r="46" spans="2:93" s="92" customFormat="1" ht="19.5" thickBot="1" thickTop="1">
      <c r="B46" s="20">
        <v>43</v>
      </c>
      <c r="C46" s="15">
        <v>15035</v>
      </c>
      <c r="D46" s="15" t="s">
        <v>27</v>
      </c>
      <c r="E46" s="15">
        <v>5</v>
      </c>
      <c r="F46" s="14" t="s">
        <v>141</v>
      </c>
      <c r="G46" s="14">
        <v>0</v>
      </c>
      <c r="H46" s="14">
        <v>1</v>
      </c>
      <c r="I46" s="14">
        <v>1</v>
      </c>
      <c r="J46" s="14">
        <v>1</v>
      </c>
      <c r="K46" s="14">
        <v>0</v>
      </c>
      <c r="L46" s="14">
        <v>4</v>
      </c>
      <c r="M46" s="14">
        <v>1</v>
      </c>
      <c r="N46" s="14">
        <v>1</v>
      </c>
      <c r="O46" s="14">
        <v>1</v>
      </c>
      <c r="P46" s="14">
        <v>0</v>
      </c>
      <c r="Q46" s="14">
        <v>0</v>
      </c>
      <c r="R46" s="14">
        <v>0</v>
      </c>
      <c r="S46" s="14">
        <v>0</v>
      </c>
      <c r="T46" s="21"/>
      <c r="U46" s="21"/>
      <c r="V46" s="21">
        <f>11530+16152.56</f>
        <v>27682.559999999998</v>
      </c>
      <c r="W46" s="91"/>
      <c r="X46" s="91"/>
      <c r="Y46" s="91"/>
      <c r="Z46" s="26">
        <f t="shared" si="14"/>
        <v>6920.639999999999</v>
      </c>
      <c r="AA46" s="26">
        <f t="shared" si="15"/>
        <v>2076.1919999999996</v>
      </c>
      <c r="AB46" s="26">
        <f t="shared" si="16"/>
        <v>0</v>
      </c>
      <c r="AC46" s="26">
        <f t="shared" si="17"/>
        <v>0</v>
      </c>
      <c r="AD46" s="26">
        <f t="shared" si="18"/>
        <v>0</v>
      </c>
      <c r="AE46" s="26">
        <f t="shared" si="19"/>
        <v>2076.1919999999996</v>
      </c>
      <c r="AF46" s="26">
        <f t="shared" si="20"/>
        <v>2768.2560000000008</v>
      </c>
      <c r="AG46" s="53">
        <v>27</v>
      </c>
      <c r="AH46" s="24" t="s">
        <v>25</v>
      </c>
      <c r="AI46" s="22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</row>
    <row r="47" spans="1:93" ht="19.5" thickBot="1" thickTop="1">
      <c r="A47" s="19">
        <v>221</v>
      </c>
      <c r="B47" s="20">
        <v>44</v>
      </c>
      <c r="C47" s="83">
        <v>14426</v>
      </c>
      <c r="D47" s="83" t="s">
        <v>24</v>
      </c>
      <c r="E47" s="83">
        <v>7</v>
      </c>
      <c r="F47" s="83" t="s">
        <v>112</v>
      </c>
      <c r="G47" s="20">
        <v>0</v>
      </c>
      <c r="H47" s="84">
        <v>1</v>
      </c>
      <c r="I47" s="84">
        <v>0</v>
      </c>
      <c r="J47" s="84">
        <v>1</v>
      </c>
      <c r="K47" s="20">
        <v>1</v>
      </c>
      <c r="L47" s="20">
        <v>3</v>
      </c>
      <c r="M47" s="84">
        <v>1</v>
      </c>
      <c r="N47" s="84">
        <v>1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91">
        <v>7276.96</v>
      </c>
      <c r="U47" s="91">
        <v>571.52</v>
      </c>
      <c r="V47" s="91">
        <f>15112.42-U47-T47</f>
        <v>7263.94</v>
      </c>
      <c r="W47" s="91"/>
      <c r="X47" s="91"/>
      <c r="Y47" s="91"/>
      <c r="Z47" s="26">
        <f t="shared" si="14"/>
        <v>3796.0706666666665</v>
      </c>
      <c r="AA47" s="26">
        <f t="shared" si="15"/>
        <v>0</v>
      </c>
      <c r="AB47" s="26">
        <f t="shared" si="16"/>
        <v>759.2141333333334</v>
      </c>
      <c r="AC47" s="26">
        <f t="shared" si="17"/>
        <v>0</v>
      </c>
      <c r="AD47" s="26">
        <f t="shared" si="18"/>
        <v>0</v>
      </c>
      <c r="AE47" s="26">
        <f t="shared" si="19"/>
        <v>0</v>
      </c>
      <c r="AF47" s="26">
        <f t="shared" si="20"/>
        <v>3036.856533333333</v>
      </c>
      <c r="AG47" s="53">
        <v>53.75</v>
      </c>
      <c r="AH47" s="89" t="s">
        <v>32</v>
      </c>
      <c r="AI47" s="22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</row>
    <row r="48" spans="1:93" ht="25.5" customHeight="1" thickBot="1" thickTop="1">
      <c r="A48" s="19">
        <v>29</v>
      </c>
      <c r="B48" s="20">
        <v>45</v>
      </c>
      <c r="C48" s="83">
        <v>14604</v>
      </c>
      <c r="D48" s="83" t="s">
        <v>24</v>
      </c>
      <c r="E48" s="83">
        <v>7</v>
      </c>
      <c r="F48" s="83" t="s">
        <v>124</v>
      </c>
      <c r="G48" s="84">
        <v>0</v>
      </c>
      <c r="H48" s="84">
        <v>1</v>
      </c>
      <c r="I48" s="84">
        <v>0</v>
      </c>
      <c r="J48" s="84">
        <v>1</v>
      </c>
      <c r="K48" s="14">
        <v>0</v>
      </c>
      <c r="L48" s="14">
        <v>3</v>
      </c>
      <c r="M48" s="14">
        <v>1</v>
      </c>
      <c r="N48" s="84">
        <v>1</v>
      </c>
      <c r="O48" s="83">
        <v>0</v>
      </c>
      <c r="P48" s="84">
        <v>0</v>
      </c>
      <c r="Q48" s="84">
        <v>1</v>
      </c>
      <c r="R48" s="84">
        <v>0</v>
      </c>
      <c r="S48" s="84">
        <v>0</v>
      </c>
      <c r="T48" s="21">
        <v>2791.25</v>
      </c>
      <c r="U48" s="21">
        <v>10050.72</v>
      </c>
      <c r="V48" s="21"/>
      <c r="W48" s="21"/>
      <c r="X48" s="21"/>
      <c r="Y48" s="21"/>
      <c r="Z48" s="26">
        <f t="shared" si="14"/>
        <v>3312.912333333333</v>
      </c>
      <c r="AA48" s="26">
        <f t="shared" si="15"/>
        <v>0</v>
      </c>
      <c r="AB48" s="26">
        <f t="shared" si="16"/>
        <v>0</v>
      </c>
      <c r="AC48" s="26">
        <f t="shared" si="17"/>
        <v>0</v>
      </c>
      <c r="AD48" s="26">
        <f t="shared" si="18"/>
        <v>0</v>
      </c>
      <c r="AE48" s="26">
        <f t="shared" si="19"/>
        <v>0</v>
      </c>
      <c r="AF48" s="26">
        <f t="shared" si="20"/>
        <v>3312.912333333333</v>
      </c>
      <c r="AG48" s="53">
        <v>38</v>
      </c>
      <c r="AH48" s="22" t="s">
        <v>33</v>
      </c>
      <c r="AI48" s="22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</row>
    <row r="49" spans="1:93" ht="22.5" customHeight="1" thickBot="1" thickTop="1">
      <c r="A49" s="19"/>
      <c r="B49" s="20">
        <v>46</v>
      </c>
      <c r="C49" s="83">
        <v>15259</v>
      </c>
      <c r="D49" s="83" t="s">
        <v>27</v>
      </c>
      <c r="E49" s="83">
        <v>3</v>
      </c>
      <c r="F49" s="83" t="s">
        <v>159</v>
      </c>
      <c r="G49" s="20">
        <v>0</v>
      </c>
      <c r="H49" s="84">
        <v>1</v>
      </c>
      <c r="I49" s="84">
        <v>0</v>
      </c>
      <c r="J49" s="84">
        <v>1</v>
      </c>
      <c r="K49" s="20">
        <v>0</v>
      </c>
      <c r="L49" s="20">
        <v>3</v>
      </c>
      <c r="M49" s="84">
        <v>1</v>
      </c>
      <c r="N49" s="84">
        <v>1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91"/>
      <c r="U49" s="91">
        <v>200</v>
      </c>
      <c r="V49" s="91">
        <f>2500+7520-U49</f>
        <v>9820</v>
      </c>
      <c r="W49" s="91"/>
      <c r="X49" s="91"/>
      <c r="Y49" s="91"/>
      <c r="Z49" s="26">
        <f t="shared" si="14"/>
        <v>3330</v>
      </c>
      <c r="AA49" s="26">
        <f t="shared" si="15"/>
        <v>0</v>
      </c>
      <c r="AB49" s="26">
        <f t="shared" si="16"/>
        <v>0</v>
      </c>
      <c r="AC49" s="26">
        <f t="shared" si="17"/>
        <v>0</v>
      </c>
      <c r="AD49" s="26">
        <f t="shared" si="18"/>
        <v>0</v>
      </c>
      <c r="AE49" s="26">
        <f t="shared" si="19"/>
        <v>0</v>
      </c>
      <c r="AF49" s="26">
        <f t="shared" si="20"/>
        <v>3330</v>
      </c>
      <c r="AG49" s="53">
        <v>21</v>
      </c>
      <c r="AH49" s="86" t="s">
        <v>79</v>
      </c>
      <c r="AI49" s="86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</row>
    <row r="50" spans="1:93" ht="22.5" customHeight="1" thickBot="1" thickTop="1">
      <c r="A50" s="19">
        <v>81</v>
      </c>
      <c r="B50" s="20">
        <v>47</v>
      </c>
      <c r="C50" s="83">
        <v>13935</v>
      </c>
      <c r="D50" s="83" t="s">
        <v>27</v>
      </c>
      <c r="E50" s="83">
        <v>7</v>
      </c>
      <c r="F50" s="83" t="s">
        <v>155</v>
      </c>
      <c r="G50" s="84">
        <v>0</v>
      </c>
      <c r="H50" s="84">
        <v>1</v>
      </c>
      <c r="I50" s="15">
        <v>0</v>
      </c>
      <c r="J50" s="84">
        <v>1</v>
      </c>
      <c r="K50" s="14">
        <v>0</v>
      </c>
      <c r="L50" s="14">
        <v>3</v>
      </c>
      <c r="M50" s="14">
        <v>1</v>
      </c>
      <c r="N50" s="84">
        <v>1</v>
      </c>
      <c r="O50" s="96">
        <v>0</v>
      </c>
      <c r="P50" s="84">
        <v>0</v>
      </c>
      <c r="Q50" s="84">
        <v>0</v>
      </c>
      <c r="R50" s="84">
        <v>0</v>
      </c>
      <c r="S50" s="15">
        <v>1</v>
      </c>
      <c r="T50" s="21">
        <v>18426.96</v>
      </c>
      <c r="U50" s="21"/>
      <c r="V50" s="21">
        <f>3.85+5551</f>
        <v>5554.85</v>
      </c>
      <c r="W50" s="21"/>
      <c r="X50" s="21"/>
      <c r="Y50" s="21"/>
      <c r="Z50" s="26">
        <f t="shared" si="14"/>
        <v>4922.776666666667</v>
      </c>
      <c r="AA50" s="26">
        <f t="shared" si="15"/>
        <v>0</v>
      </c>
      <c r="AB50" s="26">
        <f t="shared" si="16"/>
        <v>0</v>
      </c>
      <c r="AC50" s="26">
        <f t="shared" si="17"/>
        <v>0</v>
      </c>
      <c r="AD50" s="26">
        <f t="shared" si="18"/>
        <v>1476.8329999999999</v>
      </c>
      <c r="AE50" s="26">
        <f t="shared" si="19"/>
        <v>0</v>
      </c>
      <c r="AF50" s="26">
        <f t="shared" si="20"/>
        <v>3445.943666666667</v>
      </c>
      <c r="AG50" s="53">
        <v>46.5</v>
      </c>
      <c r="AH50" s="22" t="s">
        <v>25</v>
      </c>
      <c r="AI50" s="22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</row>
    <row r="51" spans="1:93" s="98" customFormat="1" ht="22.5" customHeight="1" thickBot="1" thickTop="1">
      <c r="A51" s="95"/>
      <c r="B51" s="20">
        <v>48</v>
      </c>
      <c r="C51" s="120">
        <v>15353</v>
      </c>
      <c r="D51" s="120" t="s">
        <v>24</v>
      </c>
      <c r="E51" s="120">
        <v>3</v>
      </c>
      <c r="F51" s="118" t="s">
        <v>82</v>
      </c>
      <c r="G51" s="118">
        <v>0</v>
      </c>
      <c r="H51" s="118">
        <v>1</v>
      </c>
      <c r="I51" s="118">
        <v>0</v>
      </c>
      <c r="J51" s="118">
        <v>1</v>
      </c>
      <c r="K51" s="118">
        <v>0</v>
      </c>
      <c r="L51" s="118">
        <v>4</v>
      </c>
      <c r="M51" s="118">
        <v>1</v>
      </c>
      <c r="N51" s="118">
        <v>1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9">
        <f>13657.36+7553.4</f>
        <v>21210.760000000002</v>
      </c>
      <c r="U51" s="119"/>
      <c r="V51" s="119">
        <f>3420+0.03+0.37</f>
        <v>3420.4</v>
      </c>
      <c r="W51" s="119"/>
      <c r="X51" s="99"/>
      <c r="Y51" s="99"/>
      <c r="Z51" s="112">
        <f t="shared" si="14"/>
        <v>3506.445</v>
      </c>
      <c r="AA51" s="112">
        <f t="shared" si="15"/>
        <v>0</v>
      </c>
      <c r="AB51" s="112">
        <f t="shared" si="16"/>
        <v>0</v>
      </c>
      <c r="AC51" s="112">
        <f t="shared" si="17"/>
        <v>0</v>
      </c>
      <c r="AD51" s="112">
        <f t="shared" si="18"/>
        <v>0</v>
      </c>
      <c r="AE51" s="112">
        <f t="shared" si="19"/>
        <v>0</v>
      </c>
      <c r="AF51" s="112">
        <f t="shared" si="20"/>
        <v>3506.445</v>
      </c>
      <c r="AG51" s="100">
        <v>42</v>
      </c>
      <c r="AH51" s="113" t="s">
        <v>25</v>
      </c>
      <c r="AI51" s="121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</row>
    <row r="52" spans="1:93" ht="19.5" thickBot="1" thickTop="1">
      <c r="A52" s="19"/>
      <c r="B52" s="20">
        <v>49</v>
      </c>
      <c r="C52" s="83">
        <v>15237</v>
      </c>
      <c r="D52" s="83" t="s">
        <v>27</v>
      </c>
      <c r="E52" s="83">
        <v>3</v>
      </c>
      <c r="F52" s="83" t="s">
        <v>162</v>
      </c>
      <c r="G52" s="84">
        <v>0</v>
      </c>
      <c r="H52" s="84">
        <v>1</v>
      </c>
      <c r="I52" s="15">
        <v>0</v>
      </c>
      <c r="J52" s="84">
        <v>1</v>
      </c>
      <c r="K52" s="14">
        <v>0</v>
      </c>
      <c r="L52" s="14">
        <v>4</v>
      </c>
      <c r="M52" s="14">
        <v>1</v>
      </c>
      <c r="N52" s="84">
        <v>1</v>
      </c>
      <c r="O52" s="96">
        <v>0</v>
      </c>
      <c r="P52" s="84">
        <v>0</v>
      </c>
      <c r="Q52" s="84">
        <v>0</v>
      </c>
      <c r="R52" s="84">
        <v>0</v>
      </c>
      <c r="S52" s="15">
        <v>0</v>
      </c>
      <c r="T52" s="21">
        <f>971.05+1774.57+6013.95</f>
        <v>8759.57</v>
      </c>
      <c r="U52" s="21"/>
      <c r="V52" s="21">
        <f>7900+7653.04-T52</f>
        <v>6793.470000000001</v>
      </c>
      <c r="W52" s="21">
        <v>739.96</v>
      </c>
      <c r="X52" s="21"/>
      <c r="Y52" s="21"/>
      <c r="Z52" s="26">
        <f t="shared" si="14"/>
        <v>3533.2737500000003</v>
      </c>
      <c r="AA52" s="26">
        <f t="shared" si="15"/>
        <v>0</v>
      </c>
      <c r="AB52" s="26">
        <f t="shared" si="16"/>
        <v>0</v>
      </c>
      <c r="AC52" s="26">
        <f t="shared" si="17"/>
        <v>0</v>
      </c>
      <c r="AD52" s="26">
        <f t="shared" si="18"/>
        <v>0</v>
      </c>
      <c r="AE52" s="26">
        <f t="shared" si="19"/>
        <v>0</v>
      </c>
      <c r="AF52" s="26">
        <f t="shared" si="20"/>
        <v>3533.2737500000003</v>
      </c>
      <c r="AG52" s="53">
        <v>37.5</v>
      </c>
      <c r="AH52" s="22" t="s">
        <v>163</v>
      </c>
      <c r="AI52" s="22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</row>
    <row r="53" spans="1:93" ht="22.5" customHeight="1" thickBot="1" thickTop="1">
      <c r="A53" s="19"/>
      <c r="B53" s="20">
        <v>50</v>
      </c>
      <c r="C53" s="83">
        <v>13934</v>
      </c>
      <c r="D53" s="83" t="s">
        <v>27</v>
      </c>
      <c r="E53" s="83">
        <v>7</v>
      </c>
      <c r="F53" s="83" t="s">
        <v>122</v>
      </c>
      <c r="G53" s="20">
        <v>0</v>
      </c>
      <c r="H53" s="84">
        <v>1</v>
      </c>
      <c r="I53" s="84">
        <v>0</v>
      </c>
      <c r="J53" s="84">
        <v>1</v>
      </c>
      <c r="K53" s="20">
        <v>0</v>
      </c>
      <c r="L53" s="20">
        <v>4</v>
      </c>
      <c r="M53" s="84">
        <v>1</v>
      </c>
      <c r="N53" s="84">
        <v>1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91">
        <v>10503.48</v>
      </c>
      <c r="U53" s="91"/>
      <c r="V53" s="91">
        <f>9744+10887.91-T53</f>
        <v>10128.43</v>
      </c>
      <c r="W53" s="91"/>
      <c r="X53" s="91"/>
      <c r="Y53" s="91"/>
      <c r="Z53" s="26">
        <f t="shared" si="14"/>
        <v>3845.0425</v>
      </c>
      <c r="AA53" s="26">
        <f t="shared" si="15"/>
        <v>0</v>
      </c>
      <c r="AB53" s="26">
        <f t="shared" si="16"/>
        <v>0</v>
      </c>
      <c r="AC53" s="26">
        <f t="shared" si="17"/>
        <v>0</v>
      </c>
      <c r="AD53" s="26">
        <f t="shared" si="18"/>
        <v>0</v>
      </c>
      <c r="AE53" s="26">
        <f t="shared" si="19"/>
        <v>0</v>
      </c>
      <c r="AF53" s="26">
        <f t="shared" si="20"/>
        <v>3845.0425</v>
      </c>
      <c r="AG53" s="53">
        <v>52</v>
      </c>
      <c r="AH53" s="22" t="s">
        <v>25</v>
      </c>
      <c r="AI53" s="89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</row>
    <row r="54" spans="1:93" ht="19.5" thickBot="1" thickTop="1">
      <c r="A54" s="19"/>
      <c r="B54" s="20">
        <v>51</v>
      </c>
      <c r="C54" s="83">
        <v>13485</v>
      </c>
      <c r="D54" s="83" t="s">
        <v>27</v>
      </c>
      <c r="E54" s="83">
        <v>9</v>
      </c>
      <c r="F54" s="83" t="s">
        <v>119</v>
      </c>
      <c r="G54" s="84">
        <v>0</v>
      </c>
      <c r="H54" s="84">
        <v>1</v>
      </c>
      <c r="I54" s="84">
        <v>0</v>
      </c>
      <c r="J54" s="84">
        <v>1</v>
      </c>
      <c r="K54" s="14">
        <v>0</v>
      </c>
      <c r="L54" s="14">
        <v>3</v>
      </c>
      <c r="M54" s="14">
        <v>1</v>
      </c>
      <c r="N54" s="84">
        <v>1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21">
        <v>19756.22</v>
      </c>
      <c r="U54" s="21"/>
      <c r="V54" s="21">
        <f>19756.39+2500-T54</f>
        <v>2500.1699999999983</v>
      </c>
      <c r="W54" s="21"/>
      <c r="X54" s="21"/>
      <c r="Y54" s="21"/>
      <c r="Z54" s="26">
        <f t="shared" si="14"/>
        <v>4126.093333333333</v>
      </c>
      <c r="AA54" s="26">
        <f t="shared" si="15"/>
        <v>0</v>
      </c>
      <c r="AB54" s="26">
        <f t="shared" si="16"/>
        <v>0</v>
      </c>
      <c r="AC54" s="26">
        <f t="shared" si="17"/>
        <v>0</v>
      </c>
      <c r="AD54" s="26">
        <f t="shared" si="18"/>
        <v>0</v>
      </c>
      <c r="AE54" s="26">
        <f t="shared" si="19"/>
        <v>0</v>
      </c>
      <c r="AF54" s="26">
        <f t="shared" si="20"/>
        <v>4126.093333333333</v>
      </c>
      <c r="AG54" s="53">
        <v>46</v>
      </c>
      <c r="AH54" s="22" t="s">
        <v>47</v>
      </c>
      <c r="AI54" s="24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</row>
    <row r="55" spans="1:93" ht="22.5" customHeight="1" thickBot="1" thickTop="1">
      <c r="A55" s="19"/>
      <c r="B55" s="20">
        <v>52</v>
      </c>
      <c r="C55" s="15">
        <v>13542</v>
      </c>
      <c r="D55" s="15" t="s">
        <v>27</v>
      </c>
      <c r="E55" s="15">
        <v>9</v>
      </c>
      <c r="F55" s="14" t="s">
        <v>127</v>
      </c>
      <c r="G55" s="14">
        <v>0</v>
      </c>
      <c r="H55" s="14">
        <v>1</v>
      </c>
      <c r="I55" s="14">
        <v>0</v>
      </c>
      <c r="J55" s="14">
        <v>1</v>
      </c>
      <c r="K55" s="14">
        <v>0</v>
      </c>
      <c r="L55" s="14">
        <v>4</v>
      </c>
      <c r="M55" s="14">
        <v>1</v>
      </c>
      <c r="N55" s="14">
        <v>1</v>
      </c>
      <c r="O55" s="14">
        <v>0</v>
      </c>
      <c r="P55" s="14">
        <v>1</v>
      </c>
      <c r="Q55" s="14">
        <v>0</v>
      </c>
      <c r="R55" s="14">
        <v>0</v>
      </c>
      <c r="S55" s="14">
        <v>0</v>
      </c>
      <c r="T55" s="21">
        <f>17113.4+9550.63</f>
        <v>26664.03</v>
      </c>
      <c r="U55" s="21"/>
      <c r="V55" s="21">
        <f>14740-9550.63</f>
        <v>5189.370000000001</v>
      </c>
      <c r="W55" s="21"/>
      <c r="X55" s="21"/>
      <c r="Y55" s="21"/>
      <c r="Z55" s="26">
        <f t="shared" si="14"/>
        <v>4630.3462500000005</v>
      </c>
      <c r="AA55" s="26">
        <f t="shared" si="15"/>
        <v>0</v>
      </c>
      <c r="AB55" s="26">
        <f t="shared" si="16"/>
        <v>0</v>
      </c>
      <c r="AC55" s="26">
        <f t="shared" si="17"/>
        <v>0</v>
      </c>
      <c r="AD55" s="26">
        <f t="shared" si="18"/>
        <v>0</v>
      </c>
      <c r="AE55" s="26">
        <f t="shared" si="19"/>
        <v>0</v>
      </c>
      <c r="AF55" s="26">
        <f t="shared" si="20"/>
        <v>4630.3462500000005</v>
      </c>
      <c r="AG55" s="85">
        <v>50.5</v>
      </c>
      <c r="AH55" s="94" t="s">
        <v>30</v>
      </c>
      <c r="AI55" s="94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</row>
    <row r="56" spans="1:93" ht="27.75" thickBot="1" thickTop="1">
      <c r="A56" s="19"/>
      <c r="B56" s="20">
        <v>53</v>
      </c>
      <c r="C56" s="83">
        <v>15161</v>
      </c>
      <c r="D56" s="83" t="s">
        <v>24</v>
      </c>
      <c r="E56" s="83">
        <v>3</v>
      </c>
      <c r="F56" s="83" t="s">
        <v>86</v>
      </c>
      <c r="G56" s="20">
        <v>0</v>
      </c>
      <c r="H56" s="84">
        <v>1</v>
      </c>
      <c r="I56" s="84">
        <v>0</v>
      </c>
      <c r="J56" s="84">
        <v>1</v>
      </c>
      <c r="K56" s="20">
        <v>0</v>
      </c>
      <c r="L56" s="20">
        <v>6</v>
      </c>
      <c r="M56" s="84">
        <v>1</v>
      </c>
      <c r="N56" s="84">
        <v>1</v>
      </c>
      <c r="O56" s="84">
        <v>1</v>
      </c>
      <c r="P56" s="84">
        <v>1</v>
      </c>
      <c r="Q56" s="84">
        <v>0</v>
      </c>
      <c r="R56" s="84">
        <v>0</v>
      </c>
      <c r="S56" s="84">
        <v>0</v>
      </c>
      <c r="T56" s="91"/>
      <c r="U56" s="91">
        <f>26075.52+669.25</f>
        <v>26744.77</v>
      </c>
      <c r="V56" s="91">
        <f>36169.03+7983.27-U56</f>
        <v>17407.530000000002</v>
      </c>
      <c r="W56" s="91"/>
      <c r="X56" s="91"/>
      <c r="Y56" s="91"/>
      <c r="Z56" s="26">
        <f t="shared" si="14"/>
        <v>6690.0974166666665</v>
      </c>
      <c r="AA56" s="26">
        <f t="shared" si="15"/>
        <v>2007.0292249999998</v>
      </c>
      <c r="AB56" s="26">
        <f t="shared" si="16"/>
        <v>0</v>
      </c>
      <c r="AC56" s="26">
        <f t="shared" si="17"/>
        <v>0</v>
      </c>
      <c r="AD56" s="26">
        <f t="shared" si="18"/>
        <v>0</v>
      </c>
      <c r="AE56" s="26">
        <f t="shared" si="19"/>
        <v>0</v>
      </c>
      <c r="AF56" s="26">
        <f t="shared" si="20"/>
        <v>4683.068191666667</v>
      </c>
      <c r="AG56" s="85">
        <v>27.5</v>
      </c>
      <c r="AH56" s="86" t="s">
        <v>87</v>
      </c>
      <c r="AI56" s="24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</row>
    <row r="57" spans="1:93" ht="22.5" customHeight="1" thickBot="1" thickTop="1">
      <c r="A57" s="19"/>
      <c r="B57" s="20">
        <v>54</v>
      </c>
      <c r="C57" s="83">
        <v>15180</v>
      </c>
      <c r="D57" s="83" t="s">
        <v>24</v>
      </c>
      <c r="E57" s="83">
        <v>3</v>
      </c>
      <c r="F57" s="83" t="s">
        <v>146</v>
      </c>
      <c r="G57" s="84">
        <v>0</v>
      </c>
      <c r="H57" s="84">
        <v>1</v>
      </c>
      <c r="I57" s="84">
        <v>0</v>
      </c>
      <c r="J57" s="84">
        <v>1</v>
      </c>
      <c r="K57" s="14">
        <v>0</v>
      </c>
      <c r="L57" s="14">
        <v>5</v>
      </c>
      <c r="M57" s="14">
        <v>1</v>
      </c>
      <c r="N57" s="84">
        <v>1</v>
      </c>
      <c r="O57" s="84">
        <v>0</v>
      </c>
      <c r="P57" s="84">
        <v>0</v>
      </c>
      <c r="Q57" s="84">
        <v>1</v>
      </c>
      <c r="R57" s="84">
        <v>0</v>
      </c>
      <c r="S57" s="84">
        <v>0</v>
      </c>
      <c r="T57" s="21"/>
      <c r="U57" s="21">
        <v>3864.24</v>
      </c>
      <c r="V57" s="21">
        <f>4800+19599.54-U57</f>
        <v>20535.300000000003</v>
      </c>
      <c r="W57" s="21"/>
      <c r="X57" s="21"/>
      <c r="Y57" s="21"/>
      <c r="Z57" s="26">
        <f t="shared" si="14"/>
        <v>4763.9808</v>
      </c>
      <c r="AA57" s="26">
        <f t="shared" si="15"/>
        <v>0</v>
      </c>
      <c r="AB57" s="26">
        <f t="shared" si="16"/>
        <v>0</v>
      </c>
      <c r="AC57" s="26">
        <f t="shared" si="17"/>
        <v>0</v>
      </c>
      <c r="AD57" s="26">
        <f t="shared" si="18"/>
        <v>0</v>
      </c>
      <c r="AE57" s="26">
        <f t="shared" si="19"/>
        <v>0</v>
      </c>
      <c r="AF57" s="26">
        <f t="shared" si="20"/>
        <v>4763.9808</v>
      </c>
      <c r="AG57" s="53">
        <v>31.5</v>
      </c>
      <c r="AH57" s="86" t="s">
        <v>72</v>
      </c>
      <c r="AI57" s="22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</row>
    <row r="58" spans="1:93" ht="22.5" customHeight="1" thickBot="1" thickTop="1">
      <c r="A58" s="19"/>
      <c r="B58" s="20">
        <v>55</v>
      </c>
      <c r="C58" s="83">
        <v>15093</v>
      </c>
      <c r="D58" s="83" t="s">
        <v>24</v>
      </c>
      <c r="E58" s="83">
        <v>5</v>
      </c>
      <c r="F58" s="83" t="s">
        <v>113</v>
      </c>
      <c r="G58" s="84">
        <v>0</v>
      </c>
      <c r="H58" s="84">
        <v>1</v>
      </c>
      <c r="I58" s="15">
        <v>0</v>
      </c>
      <c r="J58" s="84">
        <v>1</v>
      </c>
      <c r="K58" s="14">
        <v>1</v>
      </c>
      <c r="L58" s="14">
        <v>2</v>
      </c>
      <c r="M58" s="20">
        <v>1</v>
      </c>
      <c r="N58" s="84">
        <v>1</v>
      </c>
      <c r="O58" s="84">
        <v>0</v>
      </c>
      <c r="P58" s="84">
        <v>1</v>
      </c>
      <c r="Q58" s="83">
        <v>0</v>
      </c>
      <c r="R58" s="84">
        <v>0</v>
      </c>
      <c r="S58" s="84">
        <v>0</v>
      </c>
      <c r="T58" s="21">
        <f>717.72+4506.12</f>
        <v>5223.84</v>
      </c>
      <c r="U58" s="21">
        <v>917.28</v>
      </c>
      <c r="V58" s="21">
        <f>10886+617.5-917.28-717.72</f>
        <v>9868.5</v>
      </c>
      <c r="W58" s="21"/>
      <c r="X58" s="99"/>
      <c r="Y58" s="99"/>
      <c r="Z58" s="26">
        <f t="shared" si="14"/>
        <v>6630.054</v>
      </c>
      <c r="AA58" s="26">
        <f t="shared" si="15"/>
        <v>0</v>
      </c>
      <c r="AB58" s="26">
        <f t="shared" si="16"/>
        <v>1326.0108</v>
      </c>
      <c r="AC58" s="26">
        <f t="shared" si="17"/>
        <v>0</v>
      </c>
      <c r="AD58" s="26">
        <f t="shared" si="18"/>
        <v>0</v>
      </c>
      <c r="AE58" s="26">
        <f t="shared" si="19"/>
        <v>0</v>
      </c>
      <c r="AF58" s="26">
        <f t="shared" si="20"/>
        <v>5304.0432</v>
      </c>
      <c r="AG58" s="100">
        <v>33</v>
      </c>
      <c r="AH58" s="24" t="s">
        <v>62</v>
      </c>
      <c r="AI58" s="122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</row>
    <row r="59" spans="1:93" ht="19.5" thickBot="1" thickTop="1">
      <c r="A59" s="19"/>
      <c r="B59" s="20">
        <v>56</v>
      </c>
      <c r="C59" s="15">
        <v>13491</v>
      </c>
      <c r="D59" s="15" t="s">
        <v>27</v>
      </c>
      <c r="E59" s="15">
        <v>9</v>
      </c>
      <c r="F59" s="14" t="s">
        <v>132</v>
      </c>
      <c r="G59" s="14">
        <v>0</v>
      </c>
      <c r="H59" s="14">
        <v>1</v>
      </c>
      <c r="I59" s="14">
        <v>0</v>
      </c>
      <c r="J59" s="14">
        <v>1</v>
      </c>
      <c r="K59" s="14">
        <v>0</v>
      </c>
      <c r="L59" s="14">
        <v>3</v>
      </c>
      <c r="M59" s="14">
        <v>1</v>
      </c>
      <c r="N59" s="14">
        <v>1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21">
        <v>16421.71</v>
      </c>
      <c r="U59" s="21"/>
      <c r="V59" s="21">
        <f>8087.5</f>
        <v>8087.5</v>
      </c>
      <c r="W59" s="21"/>
      <c r="X59" s="21"/>
      <c r="Y59" s="21"/>
      <c r="Z59" s="26">
        <f t="shared" si="14"/>
        <v>5432.785</v>
      </c>
      <c r="AA59" s="26">
        <f t="shared" si="15"/>
        <v>0</v>
      </c>
      <c r="AB59" s="26">
        <f t="shared" si="16"/>
        <v>0</v>
      </c>
      <c r="AC59" s="26">
        <f t="shared" si="17"/>
        <v>0</v>
      </c>
      <c r="AD59" s="26">
        <f t="shared" si="18"/>
        <v>0</v>
      </c>
      <c r="AE59" s="26">
        <f t="shared" si="19"/>
        <v>0</v>
      </c>
      <c r="AF59" s="26">
        <f t="shared" si="20"/>
        <v>5432.785</v>
      </c>
      <c r="AG59" s="53">
        <v>38.5</v>
      </c>
      <c r="AH59" s="24" t="s">
        <v>34</v>
      </c>
      <c r="AI59" s="22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</row>
    <row r="60" spans="1:93" ht="19.5" thickBot="1" thickTop="1">
      <c r="A60" s="19"/>
      <c r="B60" s="20">
        <v>57</v>
      </c>
      <c r="C60" s="83">
        <v>15096</v>
      </c>
      <c r="D60" s="83" t="s">
        <v>24</v>
      </c>
      <c r="E60" s="83">
        <v>5</v>
      </c>
      <c r="F60" s="83" t="s">
        <v>167</v>
      </c>
      <c r="G60" s="20">
        <v>0</v>
      </c>
      <c r="H60" s="84">
        <v>1</v>
      </c>
      <c r="I60" s="84">
        <v>0</v>
      </c>
      <c r="J60" s="84">
        <v>1</v>
      </c>
      <c r="K60" s="20">
        <v>0</v>
      </c>
      <c r="L60" s="20">
        <v>6</v>
      </c>
      <c r="M60" s="84">
        <v>1</v>
      </c>
      <c r="N60" s="84">
        <v>1</v>
      </c>
      <c r="O60" s="84">
        <v>0</v>
      </c>
      <c r="P60" s="84">
        <v>1</v>
      </c>
      <c r="Q60" s="84">
        <v>0</v>
      </c>
      <c r="R60" s="84">
        <v>0</v>
      </c>
      <c r="S60" s="84">
        <v>0</v>
      </c>
      <c r="T60" s="91"/>
      <c r="U60" s="91"/>
      <c r="V60" s="91">
        <f>15250+19950.41</f>
        <v>35200.41</v>
      </c>
      <c r="W60" s="91"/>
      <c r="X60" s="102"/>
      <c r="Y60" s="102"/>
      <c r="Z60" s="26">
        <f t="shared" si="14"/>
        <v>5866.735000000001</v>
      </c>
      <c r="AA60" s="26">
        <f t="shared" si="15"/>
        <v>0</v>
      </c>
      <c r="AB60" s="26">
        <f t="shared" si="16"/>
        <v>0</v>
      </c>
      <c r="AC60" s="26">
        <f t="shared" si="17"/>
        <v>0</v>
      </c>
      <c r="AD60" s="26">
        <f t="shared" si="18"/>
        <v>0</v>
      </c>
      <c r="AE60" s="26">
        <f t="shared" si="19"/>
        <v>0</v>
      </c>
      <c r="AF60" s="26">
        <f t="shared" si="20"/>
        <v>5866.735000000001</v>
      </c>
      <c r="AG60" s="100">
        <v>59</v>
      </c>
      <c r="AH60" s="22" t="s">
        <v>25</v>
      </c>
      <c r="AI60" s="22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</row>
    <row r="61" spans="1:93" ht="19.5" thickBot="1" thickTop="1">
      <c r="A61" s="19"/>
      <c r="B61" s="20">
        <v>58</v>
      </c>
      <c r="C61" s="83">
        <v>15014</v>
      </c>
      <c r="D61" s="83" t="s">
        <v>24</v>
      </c>
      <c r="E61" s="83">
        <v>3</v>
      </c>
      <c r="F61" s="83" t="s">
        <v>126</v>
      </c>
      <c r="G61" s="109">
        <v>0</v>
      </c>
      <c r="H61" s="110">
        <v>1</v>
      </c>
      <c r="I61" s="110">
        <v>1</v>
      </c>
      <c r="J61" s="110">
        <v>1</v>
      </c>
      <c r="K61" s="109">
        <v>0</v>
      </c>
      <c r="L61" s="109">
        <v>3</v>
      </c>
      <c r="M61" s="110">
        <v>1</v>
      </c>
      <c r="N61" s="110">
        <v>1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1"/>
      <c r="U61" s="111"/>
      <c r="V61" s="111">
        <f>56042.71+4444.17</f>
        <v>60486.88</v>
      </c>
      <c r="W61" s="111"/>
      <c r="X61" s="102"/>
      <c r="Y61" s="102"/>
      <c r="Z61" s="112">
        <f t="shared" si="14"/>
        <v>20162.29333333333</v>
      </c>
      <c r="AA61" s="112">
        <f t="shared" si="15"/>
        <v>0</v>
      </c>
      <c r="AB61" s="112">
        <f t="shared" si="16"/>
        <v>0</v>
      </c>
      <c r="AC61" s="112">
        <f t="shared" si="17"/>
        <v>0</v>
      </c>
      <c r="AD61" s="112">
        <f t="shared" si="18"/>
        <v>0</v>
      </c>
      <c r="AE61" s="112">
        <f t="shared" si="19"/>
        <v>6048.687999999999</v>
      </c>
      <c r="AF61" s="112">
        <f t="shared" si="20"/>
        <v>14113.605333333333</v>
      </c>
      <c r="AG61" s="100">
        <v>72</v>
      </c>
      <c r="AH61" s="123" t="s">
        <v>25</v>
      </c>
      <c r="AI61" s="124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</row>
    <row r="62" ht="18.75" thickTop="1"/>
    <row r="63" ht="24" thickBot="1">
      <c r="B63" s="134" t="s">
        <v>184</v>
      </c>
    </row>
    <row r="64" spans="1:93" s="43" customFormat="1" ht="103.5" thickBot="1" thickTop="1">
      <c r="A64" s="35">
        <v>203</v>
      </c>
      <c r="B64" s="20">
        <v>1</v>
      </c>
      <c r="C64" s="45">
        <v>13534</v>
      </c>
      <c r="D64" s="45" t="s">
        <v>27</v>
      </c>
      <c r="E64" s="45">
        <v>9</v>
      </c>
      <c r="F64" s="44" t="s">
        <v>125</v>
      </c>
      <c r="G64" s="44">
        <v>0</v>
      </c>
      <c r="H64" s="44">
        <v>1</v>
      </c>
      <c r="I64" s="44">
        <v>0</v>
      </c>
      <c r="J64" s="44">
        <v>1</v>
      </c>
      <c r="K64" s="44">
        <v>0</v>
      </c>
      <c r="L64" s="44">
        <v>4</v>
      </c>
      <c r="M64" s="44">
        <v>1</v>
      </c>
      <c r="N64" s="44">
        <v>1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6"/>
      <c r="U64" s="46"/>
      <c r="V64" s="46"/>
      <c r="W64" s="46"/>
      <c r="X64" s="47"/>
      <c r="Y64" s="47"/>
      <c r="Z64" s="135" t="s">
        <v>186</v>
      </c>
      <c r="AA64" s="48"/>
      <c r="AB64" s="48"/>
      <c r="AC64" s="48"/>
      <c r="AD64" s="48"/>
      <c r="AE64" s="48"/>
      <c r="AF64" s="135" t="s">
        <v>186</v>
      </c>
      <c r="AG64" s="52">
        <v>45.5</v>
      </c>
      <c r="AH64" s="49" t="s">
        <v>26</v>
      </c>
      <c r="AI64" s="50" t="s">
        <v>185</v>
      </c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</row>
    <row r="65" spans="2:93" s="34" customFormat="1" ht="36" thickBot="1" thickTop="1">
      <c r="B65" s="20">
        <v>2</v>
      </c>
      <c r="C65" s="36">
        <v>15105</v>
      </c>
      <c r="D65" s="36" t="s">
        <v>27</v>
      </c>
      <c r="E65" s="36">
        <v>5</v>
      </c>
      <c r="F65" s="36" t="s">
        <v>80</v>
      </c>
      <c r="G65" s="37">
        <v>0</v>
      </c>
      <c r="H65" s="37">
        <v>1</v>
      </c>
      <c r="I65" s="55">
        <v>1</v>
      </c>
      <c r="J65" s="37">
        <v>1</v>
      </c>
      <c r="K65" s="38">
        <v>0</v>
      </c>
      <c r="L65" s="38">
        <v>4</v>
      </c>
      <c r="M65" s="38">
        <v>1</v>
      </c>
      <c r="N65" s="37">
        <v>1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9"/>
      <c r="U65" s="39"/>
      <c r="V65" s="39">
        <v>2500</v>
      </c>
      <c r="W65" s="39"/>
      <c r="X65" s="56"/>
      <c r="Y65" s="56"/>
      <c r="Z65" s="40">
        <f aca="true" t="shared" si="21" ref="Z65:Z92">((T65*50%+U65*85%+V65)/L65)+W65</f>
        <v>625</v>
      </c>
      <c r="AA65" s="40">
        <f aca="true" t="shared" si="22" ref="AA65:AA92">IF(O65=1,Z65*30%,0)</f>
        <v>0</v>
      </c>
      <c r="AB65" s="40">
        <f aca="true" t="shared" si="23" ref="AB65:AB92">IF(K65=1,Z65*20%,0)</f>
        <v>0</v>
      </c>
      <c r="AC65" s="40">
        <f aca="true" t="shared" si="24" ref="AC65:AC92">IF(R65=1,Z65*10%,0)</f>
        <v>0</v>
      </c>
      <c r="AD65" s="40">
        <f aca="true" t="shared" si="25" ref="AD65:AD92">IF(S65=1,Z65*30%,0)</f>
        <v>0</v>
      </c>
      <c r="AE65" s="40">
        <f aca="true" t="shared" si="26" ref="AE65:AE92">IF(I65=1,Z65*30%,0)</f>
        <v>187.5</v>
      </c>
      <c r="AF65" s="40">
        <f aca="true" t="shared" si="27" ref="AF65:AF92">Z65-AA65-AB65-AC65-AD65-AE65</f>
        <v>437.5</v>
      </c>
      <c r="AG65" s="57">
        <v>19.5</v>
      </c>
      <c r="AH65" s="58" t="s">
        <v>54</v>
      </c>
      <c r="AI65" s="59" t="s">
        <v>181</v>
      </c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</row>
    <row r="66" spans="2:93" s="34" customFormat="1" ht="36" thickBot="1" thickTop="1">
      <c r="B66" s="20">
        <v>3</v>
      </c>
      <c r="C66" s="36">
        <v>13585</v>
      </c>
      <c r="D66" s="72" t="s">
        <v>27</v>
      </c>
      <c r="E66" s="72">
        <v>9</v>
      </c>
      <c r="F66" s="72" t="s">
        <v>110</v>
      </c>
      <c r="G66" s="73">
        <v>0</v>
      </c>
      <c r="H66" s="73">
        <v>1</v>
      </c>
      <c r="I66" s="73">
        <v>0</v>
      </c>
      <c r="J66" s="73">
        <v>1</v>
      </c>
      <c r="K66" s="60">
        <v>1</v>
      </c>
      <c r="L66" s="60">
        <v>4</v>
      </c>
      <c r="M66" s="60">
        <v>1</v>
      </c>
      <c r="N66" s="73">
        <v>1</v>
      </c>
      <c r="O66" s="73">
        <v>1</v>
      </c>
      <c r="P66" s="73">
        <v>0</v>
      </c>
      <c r="Q66" s="73">
        <v>1</v>
      </c>
      <c r="R66" s="73">
        <v>0</v>
      </c>
      <c r="S66" s="73">
        <v>0</v>
      </c>
      <c r="T66" s="62">
        <v>9393.49</v>
      </c>
      <c r="U66" s="62"/>
      <c r="V66" s="62"/>
      <c r="W66" s="62"/>
      <c r="X66" s="56"/>
      <c r="Y66" s="56"/>
      <c r="Z66" s="63">
        <f t="shared" si="21"/>
        <v>1174.18625</v>
      </c>
      <c r="AA66" s="63">
        <f t="shared" si="22"/>
        <v>352.255875</v>
      </c>
      <c r="AB66" s="63">
        <f t="shared" si="23"/>
        <v>234.83725</v>
      </c>
      <c r="AC66" s="63">
        <f t="shared" si="24"/>
        <v>0</v>
      </c>
      <c r="AD66" s="63">
        <f t="shared" si="25"/>
        <v>0</v>
      </c>
      <c r="AE66" s="63">
        <f t="shared" si="26"/>
        <v>0</v>
      </c>
      <c r="AF66" s="63">
        <f t="shared" si="27"/>
        <v>587.0931249999999</v>
      </c>
      <c r="AG66" s="57">
        <v>14.5</v>
      </c>
      <c r="AH66" s="65" t="s">
        <v>46</v>
      </c>
      <c r="AI66" s="59" t="s">
        <v>181</v>
      </c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</row>
    <row r="67" spans="1:93" s="43" customFormat="1" ht="36" thickBot="1" thickTop="1">
      <c r="A67" s="35"/>
      <c r="B67" s="20">
        <v>4</v>
      </c>
      <c r="C67" s="36">
        <v>13405</v>
      </c>
      <c r="D67" s="36" t="s">
        <v>27</v>
      </c>
      <c r="E67" s="36">
        <v>9</v>
      </c>
      <c r="F67" s="36" t="s">
        <v>111</v>
      </c>
      <c r="G67" s="37">
        <v>0</v>
      </c>
      <c r="H67" s="37">
        <v>1</v>
      </c>
      <c r="I67" s="36">
        <v>0</v>
      </c>
      <c r="J67" s="37">
        <v>1</v>
      </c>
      <c r="K67" s="38">
        <v>0</v>
      </c>
      <c r="L67" s="38">
        <v>5</v>
      </c>
      <c r="M67" s="38">
        <v>1</v>
      </c>
      <c r="N67" s="37">
        <v>1</v>
      </c>
      <c r="O67" s="36">
        <v>1</v>
      </c>
      <c r="P67" s="37">
        <v>0</v>
      </c>
      <c r="Q67" s="37">
        <v>1</v>
      </c>
      <c r="R67" s="37">
        <v>0</v>
      </c>
      <c r="S67" s="37">
        <v>0</v>
      </c>
      <c r="T67" s="39"/>
      <c r="U67" s="39">
        <f>173.86+223.86</f>
        <v>397.72</v>
      </c>
      <c r="V67" s="39">
        <v>5000</v>
      </c>
      <c r="W67" s="39"/>
      <c r="X67" s="56"/>
      <c r="Y67" s="56"/>
      <c r="Z67" s="40">
        <f t="shared" si="21"/>
        <v>1067.6124</v>
      </c>
      <c r="AA67" s="40">
        <f t="shared" si="22"/>
        <v>320.28371999999996</v>
      </c>
      <c r="AB67" s="40">
        <f t="shared" si="23"/>
        <v>0</v>
      </c>
      <c r="AC67" s="40">
        <f t="shared" si="24"/>
        <v>0</v>
      </c>
      <c r="AD67" s="40">
        <f t="shared" si="25"/>
        <v>0</v>
      </c>
      <c r="AE67" s="40">
        <f t="shared" si="26"/>
        <v>0</v>
      </c>
      <c r="AF67" s="40">
        <f t="shared" si="27"/>
        <v>747.3286800000001</v>
      </c>
      <c r="AG67" s="51">
        <v>9.5</v>
      </c>
      <c r="AH67" s="41" t="s">
        <v>29</v>
      </c>
      <c r="AI67" s="59" t="s">
        <v>181</v>
      </c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</row>
    <row r="68" spans="1:93" s="31" customFormat="1" ht="34.5" customHeight="1" thickBot="1" thickTop="1">
      <c r="A68" s="29">
        <v>197</v>
      </c>
      <c r="B68" s="20">
        <v>5</v>
      </c>
      <c r="C68" s="36">
        <v>15110</v>
      </c>
      <c r="D68" s="36" t="s">
        <v>27</v>
      </c>
      <c r="E68" s="36">
        <v>5</v>
      </c>
      <c r="F68" s="36" t="s">
        <v>158</v>
      </c>
      <c r="G68" s="37">
        <v>0</v>
      </c>
      <c r="H68" s="37">
        <v>1</v>
      </c>
      <c r="I68" s="55">
        <v>0</v>
      </c>
      <c r="J68" s="37">
        <v>1</v>
      </c>
      <c r="K68" s="38">
        <v>0</v>
      </c>
      <c r="L68" s="38">
        <v>4</v>
      </c>
      <c r="M68" s="38">
        <v>1</v>
      </c>
      <c r="N68" s="37">
        <v>1</v>
      </c>
      <c r="O68" s="77">
        <v>0</v>
      </c>
      <c r="P68" s="37">
        <v>0</v>
      </c>
      <c r="Q68" s="37">
        <v>1</v>
      </c>
      <c r="R68" s="37">
        <v>0</v>
      </c>
      <c r="S68" s="55">
        <v>0</v>
      </c>
      <c r="T68" s="39">
        <v>6438.04</v>
      </c>
      <c r="U68" s="39"/>
      <c r="V68" s="39"/>
      <c r="W68" s="39"/>
      <c r="X68" s="39"/>
      <c r="Y68" s="39"/>
      <c r="Z68" s="40">
        <f t="shared" si="21"/>
        <v>804.755</v>
      </c>
      <c r="AA68" s="40">
        <f t="shared" si="22"/>
        <v>0</v>
      </c>
      <c r="AB68" s="40">
        <f t="shared" si="23"/>
        <v>0</v>
      </c>
      <c r="AC68" s="40">
        <f t="shared" si="24"/>
        <v>0</v>
      </c>
      <c r="AD68" s="40">
        <f t="shared" si="25"/>
        <v>0</v>
      </c>
      <c r="AE68" s="40">
        <f t="shared" si="26"/>
        <v>0</v>
      </c>
      <c r="AF68" s="40">
        <f t="shared" si="27"/>
        <v>804.755</v>
      </c>
      <c r="AG68" s="51">
        <v>3</v>
      </c>
      <c r="AH68" s="41" t="s">
        <v>42</v>
      </c>
      <c r="AI68" s="59" t="s">
        <v>181</v>
      </c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</row>
    <row r="69" spans="1:93" s="31" customFormat="1" ht="36" thickBot="1" thickTop="1">
      <c r="A69" s="32">
        <v>49</v>
      </c>
      <c r="B69" s="20">
        <v>6</v>
      </c>
      <c r="C69" s="55" t="s">
        <v>133</v>
      </c>
      <c r="D69" s="55" t="s">
        <v>27</v>
      </c>
      <c r="E69" s="55">
        <v>7</v>
      </c>
      <c r="F69" s="38" t="s">
        <v>134</v>
      </c>
      <c r="G69" s="38">
        <v>0</v>
      </c>
      <c r="H69" s="38">
        <v>1</v>
      </c>
      <c r="I69" s="38">
        <v>1</v>
      </c>
      <c r="J69" s="38">
        <v>1</v>
      </c>
      <c r="K69" s="38">
        <v>0</v>
      </c>
      <c r="L69" s="38">
        <v>4</v>
      </c>
      <c r="M69" s="38">
        <v>1</v>
      </c>
      <c r="N69" s="38">
        <v>1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9"/>
      <c r="U69" s="39"/>
      <c r="V69" s="39">
        <v>5000</v>
      </c>
      <c r="W69" s="39"/>
      <c r="X69" s="39"/>
      <c r="Y69" s="39"/>
      <c r="Z69" s="40">
        <f t="shared" si="21"/>
        <v>1250</v>
      </c>
      <c r="AA69" s="40">
        <f t="shared" si="22"/>
        <v>0</v>
      </c>
      <c r="AB69" s="40">
        <f t="shared" si="23"/>
        <v>0</v>
      </c>
      <c r="AC69" s="40">
        <f t="shared" si="24"/>
        <v>0</v>
      </c>
      <c r="AD69" s="40">
        <f t="shared" si="25"/>
        <v>0</v>
      </c>
      <c r="AE69" s="40">
        <f t="shared" si="26"/>
        <v>375</v>
      </c>
      <c r="AF69" s="40">
        <f t="shared" si="27"/>
        <v>875</v>
      </c>
      <c r="AG69" s="51">
        <v>10</v>
      </c>
      <c r="AH69" s="41" t="s">
        <v>48</v>
      </c>
      <c r="AI69" s="59" t="s">
        <v>181</v>
      </c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</row>
    <row r="70" spans="1:93" s="31" customFormat="1" ht="36" thickBot="1" thickTop="1">
      <c r="A70" s="29">
        <v>97</v>
      </c>
      <c r="B70" s="20">
        <v>7</v>
      </c>
      <c r="C70" s="55">
        <v>15285</v>
      </c>
      <c r="D70" s="55" t="s">
        <v>27</v>
      </c>
      <c r="E70" s="55">
        <v>3</v>
      </c>
      <c r="F70" s="38" t="s">
        <v>150</v>
      </c>
      <c r="G70" s="38">
        <v>0</v>
      </c>
      <c r="H70" s="38">
        <v>1</v>
      </c>
      <c r="I70" s="38">
        <v>0</v>
      </c>
      <c r="J70" s="38">
        <v>1</v>
      </c>
      <c r="K70" s="38">
        <v>0</v>
      </c>
      <c r="L70" s="38">
        <v>6</v>
      </c>
      <c r="M70" s="38">
        <v>1</v>
      </c>
      <c r="N70" s="38">
        <v>1</v>
      </c>
      <c r="O70" s="38">
        <v>1</v>
      </c>
      <c r="P70" s="38">
        <v>1</v>
      </c>
      <c r="Q70" s="38">
        <v>0</v>
      </c>
      <c r="R70" s="38">
        <v>0</v>
      </c>
      <c r="S70" s="38">
        <v>0</v>
      </c>
      <c r="T70" s="39">
        <f>4881.64+4232.93</f>
        <v>9114.57</v>
      </c>
      <c r="U70" s="39"/>
      <c r="V70" s="39">
        <f>8440+4233.55-T70</f>
        <v>3558.9799999999996</v>
      </c>
      <c r="W70" s="39"/>
      <c r="X70" s="39"/>
      <c r="Y70" s="39"/>
      <c r="Z70" s="40">
        <f t="shared" si="21"/>
        <v>1352.7108333333333</v>
      </c>
      <c r="AA70" s="40">
        <f t="shared" si="22"/>
        <v>405.81325</v>
      </c>
      <c r="AB70" s="40">
        <f t="shared" si="23"/>
        <v>0</v>
      </c>
      <c r="AC70" s="40">
        <f t="shared" si="24"/>
        <v>0</v>
      </c>
      <c r="AD70" s="40">
        <f t="shared" si="25"/>
        <v>0</v>
      </c>
      <c r="AE70" s="40">
        <f t="shared" si="26"/>
        <v>0</v>
      </c>
      <c r="AF70" s="40">
        <f t="shared" si="27"/>
        <v>946.8975833333334</v>
      </c>
      <c r="AG70" s="51">
        <v>11</v>
      </c>
      <c r="AH70" s="78" t="s">
        <v>151</v>
      </c>
      <c r="AI70" s="59" t="s">
        <v>181</v>
      </c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</row>
    <row r="71" spans="1:93" s="31" customFormat="1" ht="38.25" customHeight="1" thickBot="1" thickTop="1">
      <c r="A71" s="29"/>
      <c r="B71" s="20">
        <v>8</v>
      </c>
      <c r="C71" s="36">
        <v>15147</v>
      </c>
      <c r="D71" s="36" t="s">
        <v>24</v>
      </c>
      <c r="E71" s="36">
        <v>5</v>
      </c>
      <c r="F71" s="36" t="s">
        <v>128</v>
      </c>
      <c r="G71" s="54">
        <v>0</v>
      </c>
      <c r="H71" s="37">
        <v>1</v>
      </c>
      <c r="I71" s="37">
        <v>1</v>
      </c>
      <c r="J71" s="37">
        <v>1</v>
      </c>
      <c r="K71" s="54">
        <v>0</v>
      </c>
      <c r="L71" s="54">
        <v>6</v>
      </c>
      <c r="M71" s="37">
        <v>1</v>
      </c>
      <c r="N71" s="37">
        <v>1</v>
      </c>
      <c r="O71" s="37">
        <v>0</v>
      </c>
      <c r="P71" s="37">
        <v>1</v>
      </c>
      <c r="Q71" s="37">
        <v>0</v>
      </c>
      <c r="R71" s="37">
        <v>0</v>
      </c>
      <c r="S71" s="37">
        <v>0</v>
      </c>
      <c r="T71" s="69">
        <v>1201.52</v>
      </c>
      <c r="U71" s="69">
        <v>9575</v>
      </c>
      <c r="V71" s="69">
        <f>2500-T71</f>
        <v>1298.48</v>
      </c>
      <c r="W71" s="69"/>
      <c r="X71" s="71"/>
      <c r="Y71" s="71"/>
      <c r="Z71" s="40">
        <f t="shared" si="21"/>
        <v>1672.9983333333332</v>
      </c>
      <c r="AA71" s="40">
        <f t="shared" si="22"/>
        <v>0</v>
      </c>
      <c r="AB71" s="40">
        <f t="shared" si="23"/>
        <v>0</v>
      </c>
      <c r="AC71" s="40">
        <f t="shared" si="24"/>
        <v>0</v>
      </c>
      <c r="AD71" s="40">
        <f t="shared" si="25"/>
        <v>0</v>
      </c>
      <c r="AE71" s="40">
        <f t="shared" si="26"/>
        <v>501.89949999999993</v>
      </c>
      <c r="AF71" s="40">
        <f t="shared" si="27"/>
        <v>1171.0988333333332</v>
      </c>
      <c r="AG71" s="57">
        <v>11.5</v>
      </c>
      <c r="AH71" s="58" t="s">
        <v>61</v>
      </c>
      <c r="AI71" s="59" t="s">
        <v>181</v>
      </c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</row>
    <row r="72" spans="1:93" s="43" customFormat="1" ht="36" thickBot="1" thickTop="1">
      <c r="A72" s="35">
        <v>82</v>
      </c>
      <c r="B72" s="20">
        <v>9</v>
      </c>
      <c r="C72" s="36">
        <v>13941</v>
      </c>
      <c r="D72" s="36" t="s">
        <v>27</v>
      </c>
      <c r="E72" s="36">
        <v>7</v>
      </c>
      <c r="F72" s="36" t="s">
        <v>95</v>
      </c>
      <c r="G72" s="54">
        <v>0</v>
      </c>
      <c r="H72" s="37">
        <v>1</v>
      </c>
      <c r="I72" s="37">
        <v>0</v>
      </c>
      <c r="J72" s="37">
        <v>1</v>
      </c>
      <c r="K72" s="54">
        <v>0</v>
      </c>
      <c r="L72" s="54">
        <v>4</v>
      </c>
      <c r="M72" s="37">
        <v>1</v>
      </c>
      <c r="N72" s="37">
        <v>1</v>
      </c>
      <c r="O72" s="37">
        <v>1</v>
      </c>
      <c r="P72" s="37">
        <v>0</v>
      </c>
      <c r="Q72" s="37">
        <v>0</v>
      </c>
      <c r="R72" s="37">
        <v>0</v>
      </c>
      <c r="S72" s="37">
        <v>0</v>
      </c>
      <c r="T72" s="69">
        <v>337.54</v>
      </c>
      <c r="U72" s="69">
        <v>50</v>
      </c>
      <c r="V72" s="69">
        <f>4800+2500-T72-U72</f>
        <v>6912.46</v>
      </c>
      <c r="W72" s="69"/>
      <c r="X72" s="71"/>
      <c r="Y72" s="71"/>
      <c r="Z72" s="40">
        <f t="shared" si="21"/>
        <v>1780.9325000000001</v>
      </c>
      <c r="AA72" s="40">
        <f t="shared" si="22"/>
        <v>534.27975</v>
      </c>
      <c r="AB72" s="40">
        <f t="shared" si="23"/>
        <v>0</v>
      </c>
      <c r="AC72" s="40">
        <f t="shared" si="24"/>
        <v>0</v>
      </c>
      <c r="AD72" s="40">
        <f t="shared" si="25"/>
        <v>0</v>
      </c>
      <c r="AE72" s="40">
        <f t="shared" si="26"/>
        <v>0</v>
      </c>
      <c r="AF72" s="40">
        <f t="shared" si="27"/>
        <v>1246.6527500000002</v>
      </c>
      <c r="AG72" s="51">
        <v>4</v>
      </c>
      <c r="AH72" s="41" t="s">
        <v>47</v>
      </c>
      <c r="AI72" s="59" t="s">
        <v>181</v>
      </c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</row>
    <row r="73" spans="1:93" s="43" customFormat="1" ht="36" thickBot="1" thickTop="1">
      <c r="A73" s="35"/>
      <c r="B73" s="20">
        <v>10</v>
      </c>
      <c r="C73" s="36">
        <v>15077</v>
      </c>
      <c r="D73" s="36" t="s">
        <v>24</v>
      </c>
      <c r="E73" s="36">
        <v>5</v>
      </c>
      <c r="F73" s="36" t="s">
        <v>91</v>
      </c>
      <c r="G73" s="54">
        <v>0</v>
      </c>
      <c r="H73" s="37">
        <v>1</v>
      </c>
      <c r="I73" s="37">
        <v>0</v>
      </c>
      <c r="J73" s="37">
        <v>1</v>
      </c>
      <c r="K73" s="54">
        <v>0</v>
      </c>
      <c r="L73" s="54">
        <v>5</v>
      </c>
      <c r="M73" s="37">
        <v>1</v>
      </c>
      <c r="N73" s="37">
        <v>1</v>
      </c>
      <c r="O73" s="37">
        <v>1</v>
      </c>
      <c r="P73" s="37">
        <v>1</v>
      </c>
      <c r="Q73" s="37">
        <v>0</v>
      </c>
      <c r="R73" s="37">
        <v>1</v>
      </c>
      <c r="S73" s="37">
        <v>0</v>
      </c>
      <c r="T73" s="69">
        <v>12854.05</v>
      </c>
      <c r="U73" s="69"/>
      <c r="V73" s="69">
        <f>17182.95-T73</f>
        <v>4328.9000000000015</v>
      </c>
      <c r="W73" s="69"/>
      <c r="X73" s="71"/>
      <c r="Y73" s="71"/>
      <c r="Z73" s="40">
        <f t="shared" si="21"/>
        <v>2151.1850000000004</v>
      </c>
      <c r="AA73" s="40">
        <f t="shared" si="22"/>
        <v>645.3555000000001</v>
      </c>
      <c r="AB73" s="40">
        <f t="shared" si="23"/>
        <v>0</v>
      </c>
      <c r="AC73" s="40">
        <f t="shared" si="24"/>
        <v>215.11850000000004</v>
      </c>
      <c r="AD73" s="40">
        <f t="shared" si="25"/>
        <v>0</v>
      </c>
      <c r="AE73" s="40">
        <f t="shared" si="26"/>
        <v>0</v>
      </c>
      <c r="AF73" s="40">
        <f t="shared" si="27"/>
        <v>1290.7110000000002</v>
      </c>
      <c r="AG73" s="57">
        <v>9.5</v>
      </c>
      <c r="AH73" s="59" t="s">
        <v>55</v>
      </c>
      <c r="AI73" s="59" t="s">
        <v>181</v>
      </c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</row>
    <row r="74" spans="1:92" s="43" customFormat="1" ht="36" thickBot="1" thickTop="1">
      <c r="A74" s="67"/>
      <c r="B74" s="20">
        <v>11</v>
      </c>
      <c r="C74" s="36">
        <v>15356</v>
      </c>
      <c r="D74" s="36" t="s">
        <v>24</v>
      </c>
      <c r="E74" s="36">
        <v>3</v>
      </c>
      <c r="F74" s="36" t="s">
        <v>160</v>
      </c>
      <c r="G74" s="37">
        <v>0</v>
      </c>
      <c r="H74" s="37">
        <v>1</v>
      </c>
      <c r="I74" s="55">
        <v>0</v>
      </c>
      <c r="J74" s="37">
        <v>1</v>
      </c>
      <c r="K74" s="38">
        <v>0</v>
      </c>
      <c r="L74" s="38">
        <v>5</v>
      </c>
      <c r="M74" s="38">
        <v>1</v>
      </c>
      <c r="N74" s="37">
        <v>1</v>
      </c>
      <c r="O74" s="77">
        <v>1</v>
      </c>
      <c r="P74" s="37">
        <v>0</v>
      </c>
      <c r="Q74" s="37">
        <v>1</v>
      </c>
      <c r="R74" s="37">
        <v>0</v>
      </c>
      <c r="S74" s="55">
        <v>0</v>
      </c>
      <c r="T74" s="39">
        <v>6403.2</v>
      </c>
      <c r="U74" s="39"/>
      <c r="V74" s="39">
        <f>11159.71+2500-T74</f>
        <v>7256.509999999999</v>
      </c>
      <c r="W74" s="39"/>
      <c r="X74" s="39"/>
      <c r="Y74" s="39"/>
      <c r="Z74" s="40">
        <f t="shared" si="21"/>
        <v>2091.622</v>
      </c>
      <c r="AA74" s="40">
        <f t="shared" si="22"/>
        <v>627.4866</v>
      </c>
      <c r="AB74" s="40">
        <f t="shared" si="23"/>
        <v>0</v>
      </c>
      <c r="AC74" s="40">
        <f t="shared" si="24"/>
        <v>0</v>
      </c>
      <c r="AD74" s="40">
        <f t="shared" si="25"/>
        <v>0</v>
      </c>
      <c r="AE74" s="40">
        <f t="shared" si="26"/>
        <v>0</v>
      </c>
      <c r="AF74" s="40">
        <f t="shared" si="27"/>
        <v>1464.1354</v>
      </c>
      <c r="AG74" s="51">
        <v>14.5</v>
      </c>
      <c r="AH74" s="41" t="s">
        <v>161</v>
      </c>
      <c r="AI74" s="59" t="s">
        <v>181</v>
      </c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</row>
    <row r="75" spans="1:92" s="31" customFormat="1" ht="36" thickBot="1" thickTop="1">
      <c r="A75" s="29"/>
      <c r="B75" s="20">
        <v>12</v>
      </c>
      <c r="C75" s="61">
        <v>13922</v>
      </c>
      <c r="D75" s="61" t="s">
        <v>27</v>
      </c>
      <c r="E75" s="61">
        <v>7</v>
      </c>
      <c r="F75" s="60" t="s">
        <v>81</v>
      </c>
      <c r="G75" s="60">
        <v>0</v>
      </c>
      <c r="H75" s="60">
        <v>1</v>
      </c>
      <c r="I75" s="60">
        <v>1</v>
      </c>
      <c r="J75" s="60">
        <v>1</v>
      </c>
      <c r="K75" s="60">
        <v>0</v>
      </c>
      <c r="L75" s="60">
        <v>4</v>
      </c>
      <c r="M75" s="60">
        <v>1</v>
      </c>
      <c r="N75" s="60">
        <v>1</v>
      </c>
      <c r="O75" s="60">
        <v>0</v>
      </c>
      <c r="P75" s="60">
        <v>0</v>
      </c>
      <c r="Q75" s="60">
        <v>1</v>
      </c>
      <c r="R75" s="60">
        <v>1</v>
      </c>
      <c r="S75" s="60">
        <v>0</v>
      </c>
      <c r="T75" s="62">
        <v>6324</v>
      </c>
      <c r="U75" s="62"/>
      <c r="V75" s="62"/>
      <c r="W75" s="62">
        <v>1761.78</v>
      </c>
      <c r="X75" s="56"/>
      <c r="Y75" s="56"/>
      <c r="Z75" s="63">
        <f t="shared" si="21"/>
        <v>2552.2799999999997</v>
      </c>
      <c r="AA75" s="63">
        <f t="shared" si="22"/>
        <v>0</v>
      </c>
      <c r="AB75" s="63">
        <f t="shared" si="23"/>
        <v>0</v>
      </c>
      <c r="AC75" s="63">
        <f t="shared" si="24"/>
        <v>255.22799999999998</v>
      </c>
      <c r="AD75" s="63">
        <f t="shared" si="25"/>
        <v>0</v>
      </c>
      <c r="AE75" s="63">
        <f t="shared" si="26"/>
        <v>765.6839999999999</v>
      </c>
      <c r="AF75" s="63">
        <f t="shared" si="27"/>
        <v>1531.368</v>
      </c>
      <c r="AG75" s="57">
        <v>10.5</v>
      </c>
      <c r="AH75" s="64" t="s">
        <v>26</v>
      </c>
      <c r="AI75" s="59" t="s">
        <v>181</v>
      </c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</row>
    <row r="76" spans="1:92" s="31" customFormat="1" ht="22.5" customHeight="1" thickBot="1" thickTop="1">
      <c r="A76" s="29">
        <v>163</v>
      </c>
      <c r="B76" s="20">
        <v>13</v>
      </c>
      <c r="C76" s="36">
        <v>13973</v>
      </c>
      <c r="D76" s="36" t="s">
        <v>27</v>
      </c>
      <c r="E76" s="36">
        <v>7</v>
      </c>
      <c r="F76" s="36" t="s">
        <v>170</v>
      </c>
      <c r="G76" s="37">
        <v>0</v>
      </c>
      <c r="H76" s="37">
        <v>1</v>
      </c>
      <c r="I76" s="55">
        <v>1</v>
      </c>
      <c r="J76" s="37">
        <v>1</v>
      </c>
      <c r="K76" s="38">
        <v>0</v>
      </c>
      <c r="L76" s="38">
        <v>3</v>
      </c>
      <c r="M76" s="38">
        <v>1</v>
      </c>
      <c r="N76" s="37">
        <v>1</v>
      </c>
      <c r="O76" s="77">
        <v>0</v>
      </c>
      <c r="P76" s="37">
        <v>0</v>
      </c>
      <c r="Q76" s="37">
        <v>1</v>
      </c>
      <c r="R76" s="37">
        <v>1</v>
      </c>
      <c r="S76" s="55">
        <v>0</v>
      </c>
      <c r="T76" s="39"/>
      <c r="U76" s="39"/>
      <c r="V76" s="39">
        <v>7890</v>
      </c>
      <c r="W76" s="39"/>
      <c r="X76" s="39"/>
      <c r="Y76" s="39"/>
      <c r="Z76" s="40">
        <f t="shared" si="21"/>
        <v>2630</v>
      </c>
      <c r="AA76" s="40">
        <f t="shared" si="22"/>
        <v>0</v>
      </c>
      <c r="AB76" s="40">
        <f t="shared" si="23"/>
        <v>0</v>
      </c>
      <c r="AC76" s="40">
        <f t="shared" si="24"/>
        <v>263</v>
      </c>
      <c r="AD76" s="40">
        <f t="shared" si="25"/>
        <v>0</v>
      </c>
      <c r="AE76" s="40">
        <f t="shared" si="26"/>
        <v>789</v>
      </c>
      <c r="AF76" s="40">
        <f t="shared" si="27"/>
        <v>1578</v>
      </c>
      <c r="AG76" s="51">
        <v>13</v>
      </c>
      <c r="AH76" s="41" t="s">
        <v>171</v>
      </c>
      <c r="AI76" s="59" t="s">
        <v>181</v>
      </c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</row>
    <row r="77" spans="1:92" s="31" customFormat="1" ht="36" thickBot="1" thickTop="1">
      <c r="A77" s="29">
        <v>138</v>
      </c>
      <c r="B77" s="20">
        <v>14</v>
      </c>
      <c r="C77" s="36">
        <v>15102</v>
      </c>
      <c r="D77" s="36" t="s">
        <v>27</v>
      </c>
      <c r="E77" s="36">
        <v>5</v>
      </c>
      <c r="F77" s="36" t="s">
        <v>115</v>
      </c>
      <c r="G77" s="54">
        <v>0</v>
      </c>
      <c r="H77" s="37">
        <v>1</v>
      </c>
      <c r="I77" s="37">
        <v>0</v>
      </c>
      <c r="J77" s="37">
        <v>1</v>
      </c>
      <c r="K77" s="54">
        <v>0</v>
      </c>
      <c r="L77" s="54">
        <v>4</v>
      </c>
      <c r="M77" s="37">
        <v>1</v>
      </c>
      <c r="N77" s="37">
        <v>1</v>
      </c>
      <c r="O77" s="37">
        <v>1</v>
      </c>
      <c r="P77" s="37">
        <v>0</v>
      </c>
      <c r="Q77" s="37">
        <v>0</v>
      </c>
      <c r="R77" s="37">
        <v>0</v>
      </c>
      <c r="S77" s="37">
        <v>0</v>
      </c>
      <c r="T77" s="69">
        <f>1804.72+10248.11</f>
        <v>12052.83</v>
      </c>
      <c r="U77" s="69"/>
      <c r="V77" s="69">
        <f>5432.5-1804.72</f>
        <v>3627.7799999999997</v>
      </c>
      <c r="W77" s="69"/>
      <c r="X77" s="71"/>
      <c r="Y77" s="71"/>
      <c r="Z77" s="40">
        <f t="shared" si="21"/>
        <v>2413.54875</v>
      </c>
      <c r="AA77" s="40">
        <f t="shared" si="22"/>
        <v>724.064625</v>
      </c>
      <c r="AB77" s="40">
        <f t="shared" si="23"/>
        <v>0</v>
      </c>
      <c r="AC77" s="40">
        <f t="shared" si="24"/>
        <v>0</v>
      </c>
      <c r="AD77" s="40">
        <f t="shared" si="25"/>
        <v>0</v>
      </c>
      <c r="AE77" s="40">
        <f t="shared" si="26"/>
        <v>0</v>
      </c>
      <c r="AF77" s="40">
        <f t="shared" si="27"/>
        <v>1689.484125</v>
      </c>
      <c r="AG77" s="57">
        <v>19.5</v>
      </c>
      <c r="AH77" s="74" t="s">
        <v>49</v>
      </c>
      <c r="AI77" s="59" t="s">
        <v>181</v>
      </c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</row>
    <row r="78" spans="1:92" s="31" customFormat="1" ht="36.75" customHeight="1" thickBot="1" thickTop="1">
      <c r="A78" s="29"/>
      <c r="B78" s="20">
        <v>15</v>
      </c>
      <c r="C78" s="36">
        <v>14076</v>
      </c>
      <c r="D78" s="36" t="s">
        <v>24</v>
      </c>
      <c r="E78" s="36">
        <v>9</v>
      </c>
      <c r="F78" s="36" t="s">
        <v>179</v>
      </c>
      <c r="G78" s="37">
        <v>0</v>
      </c>
      <c r="H78" s="37">
        <v>1</v>
      </c>
      <c r="I78" s="55">
        <v>0</v>
      </c>
      <c r="J78" s="37">
        <v>1</v>
      </c>
      <c r="K78" s="38">
        <v>0</v>
      </c>
      <c r="L78" s="38">
        <v>3</v>
      </c>
      <c r="M78" s="38">
        <v>1</v>
      </c>
      <c r="N78" s="37">
        <v>1</v>
      </c>
      <c r="O78" s="77">
        <v>0</v>
      </c>
      <c r="P78" s="37">
        <v>0</v>
      </c>
      <c r="Q78" s="37">
        <v>0</v>
      </c>
      <c r="R78" s="37">
        <v>1</v>
      </c>
      <c r="S78" s="55">
        <v>0</v>
      </c>
      <c r="T78" s="39">
        <v>10521.07</v>
      </c>
      <c r="U78" s="39"/>
      <c r="V78" s="39">
        <f>10899.79-T78</f>
        <v>378.72000000000116</v>
      </c>
      <c r="W78" s="39"/>
      <c r="X78" s="39"/>
      <c r="Y78" s="39"/>
      <c r="Z78" s="40">
        <f t="shared" si="21"/>
        <v>1879.751666666667</v>
      </c>
      <c r="AA78" s="40">
        <f t="shared" si="22"/>
        <v>0</v>
      </c>
      <c r="AB78" s="40">
        <f t="shared" si="23"/>
        <v>0</v>
      </c>
      <c r="AC78" s="40">
        <f t="shared" si="24"/>
        <v>187.97516666666672</v>
      </c>
      <c r="AD78" s="40">
        <f t="shared" si="25"/>
        <v>0</v>
      </c>
      <c r="AE78" s="40">
        <f t="shared" si="26"/>
        <v>0</v>
      </c>
      <c r="AF78" s="40">
        <f t="shared" si="27"/>
        <v>1691.7765000000004</v>
      </c>
      <c r="AG78" s="51">
        <v>12</v>
      </c>
      <c r="AH78" s="41" t="s">
        <v>180</v>
      </c>
      <c r="AI78" s="59" t="s">
        <v>181</v>
      </c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</row>
    <row r="79" spans="1:93" s="31" customFormat="1" ht="34.5" customHeight="1" thickBot="1" thickTop="1">
      <c r="A79" s="29">
        <v>4</v>
      </c>
      <c r="B79" s="20">
        <v>16</v>
      </c>
      <c r="C79" s="36">
        <v>14073</v>
      </c>
      <c r="D79" s="36" t="s">
        <v>24</v>
      </c>
      <c r="E79" s="36">
        <v>9</v>
      </c>
      <c r="F79" s="36" t="s">
        <v>177</v>
      </c>
      <c r="G79" s="37">
        <v>0</v>
      </c>
      <c r="H79" s="37">
        <v>1</v>
      </c>
      <c r="I79" s="55">
        <v>0</v>
      </c>
      <c r="J79" s="37">
        <v>1</v>
      </c>
      <c r="K79" s="38">
        <v>0</v>
      </c>
      <c r="L79" s="38">
        <v>5</v>
      </c>
      <c r="M79" s="38">
        <v>1</v>
      </c>
      <c r="N79" s="37">
        <v>1</v>
      </c>
      <c r="O79" s="77">
        <v>0</v>
      </c>
      <c r="P79" s="37">
        <v>1</v>
      </c>
      <c r="Q79" s="37">
        <v>0</v>
      </c>
      <c r="R79" s="37">
        <v>0</v>
      </c>
      <c r="S79" s="55">
        <v>0</v>
      </c>
      <c r="T79" s="39"/>
      <c r="U79" s="39"/>
      <c r="V79" s="39">
        <v>9173.31</v>
      </c>
      <c r="W79" s="39"/>
      <c r="X79" s="39"/>
      <c r="Y79" s="39"/>
      <c r="Z79" s="40">
        <f t="shared" si="21"/>
        <v>1834.6619999999998</v>
      </c>
      <c r="AA79" s="40">
        <f t="shared" si="22"/>
        <v>0</v>
      </c>
      <c r="AB79" s="40">
        <f t="shared" si="23"/>
        <v>0</v>
      </c>
      <c r="AC79" s="40">
        <f t="shared" si="24"/>
        <v>0</v>
      </c>
      <c r="AD79" s="40">
        <f t="shared" si="25"/>
        <v>0</v>
      </c>
      <c r="AE79" s="40">
        <f t="shared" si="26"/>
        <v>0</v>
      </c>
      <c r="AF79" s="40">
        <f t="shared" si="27"/>
        <v>1834.6619999999998</v>
      </c>
      <c r="AG79" s="51">
        <v>10</v>
      </c>
      <c r="AH79" s="41" t="s">
        <v>178</v>
      </c>
      <c r="AI79" s="59" t="s">
        <v>181</v>
      </c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</row>
    <row r="80" spans="1:93" s="31" customFormat="1" ht="39" customHeight="1" thickBot="1" thickTop="1">
      <c r="A80" s="29"/>
      <c r="B80" s="20">
        <v>17</v>
      </c>
      <c r="C80" s="36">
        <v>15194</v>
      </c>
      <c r="D80" s="36" t="s">
        <v>24</v>
      </c>
      <c r="E80" s="36">
        <v>3</v>
      </c>
      <c r="F80" s="36" t="s">
        <v>154</v>
      </c>
      <c r="G80" s="54">
        <v>0</v>
      </c>
      <c r="H80" s="37">
        <v>1</v>
      </c>
      <c r="I80" s="37">
        <v>0</v>
      </c>
      <c r="J80" s="37">
        <v>1</v>
      </c>
      <c r="K80" s="54">
        <v>0</v>
      </c>
      <c r="L80" s="54">
        <v>3</v>
      </c>
      <c r="M80" s="37">
        <v>1</v>
      </c>
      <c r="N80" s="37">
        <v>1</v>
      </c>
      <c r="O80" s="37">
        <v>0</v>
      </c>
      <c r="P80" s="37">
        <v>0</v>
      </c>
      <c r="Q80" s="37">
        <v>0</v>
      </c>
      <c r="R80" s="37">
        <v>1</v>
      </c>
      <c r="S80" s="37">
        <v>0</v>
      </c>
      <c r="T80" s="69"/>
      <c r="U80" s="69"/>
      <c r="V80" s="69">
        <v>6400</v>
      </c>
      <c r="W80" s="69"/>
      <c r="X80" s="69"/>
      <c r="Y80" s="69"/>
      <c r="Z80" s="40">
        <f t="shared" si="21"/>
        <v>2133.3333333333335</v>
      </c>
      <c r="AA80" s="40">
        <f t="shared" si="22"/>
        <v>0</v>
      </c>
      <c r="AB80" s="40">
        <f t="shared" si="23"/>
        <v>0</v>
      </c>
      <c r="AC80" s="40">
        <f t="shared" si="24"/>
        <v>213.33333333333337</v>
      </c>
      <c r="AD80" s="40">
        <f t="shared" si="25"/>
        <v>0</v>
      </c>
      <c r="AE80" s="40">
        <f t="shared" si="26"/>
        <v>0</v>
      </c>
      <c r="AF80" s="40">
        <f t="shared" si="27"/>
        <v>1920</v>
      </c>
      <c r="AG80" s="51">
        <v>5</v>
      </c>
      <c r="AH80" s="58" t="s">
        <v>77</v>
      </c>
      <c r="AI80" s="59" t="s">
        <v>181</v>
      </c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</row>
    <row r="81" spans="2:93" s="34" customFormat="1" ht="36" thickBot="1" thickTop="1">
      <c r="B81" s="20">
        <v>18</v>
      </c>
      <c r="C81" s="36">
        <v>13459</v>
      </c>
      <c r="D81" s="36" t="s">
        <v>27</v>
      </c>
      <c r="E81" s="36">
        <v>9</v>
      </c>
      <c r="F81" s="36" t="s">
        <v>117</v>
      </c>
      <c r="G81" s="37">
        <v>0</v>
      </c>
      <c r="H81" s="37">
        <v>1</v>
      </c>
      <c r="I81" s="37">
        <v>1</v>
      </c>
      <c r="J81" s="37">
        <v>1</v>
      </c>
      <c r="K81" s="38">
        <v>0</v>
      </c>
      <c r="L81" s="38">
        <v>4</v>
      </c>
      <c r="M81" s="38">
        <v>1</v>
      </c>
      <c r="N81" s="37">
        <v>1</v>
      </c>
      <c r="O81" s="77">
        <v>0</v>
      </c>
      <c r="P81" s="37">
        <v>0</v>
      </c>
      <c r="Q81" s="37">
        <v>1</v>
      </c>
      <c r="R81" s="37">
        <v>0</v>
      </c>
      <c r="S81" s="37">
        <v>0</v>
      </c>
      <c r="T81" s="39">
        <v>2274.57</v>
      </c>
      <c r="U81" s="39"/>
      <c r="V81" s="39">
        <f>9000+3500-T81</f>
        <v>10225.43</v>
      </c>
      <c r="W81" s="39"/>
      <c r="X81" s="56"/>
      <c r="Y81" s="56"/>
      <c r="Z81" s="40">
        <f t="shared" si="21"/>
        <v>2840.67875</v>
      </c>
      <c r="AA81" s="40">
        <f t="shared" si="22"/>
        <v>0</v>
      </c>
      <c r="AB81" s="40">
        <f t="shared" si="23"/>
        <v>0</v>
      </c>
      <c r="AC81" s="40">
        <f t="shared" si="24"/>
        <v>0</v>
      </c>
      <c r="AD81" s="40">
        <f t="shared" si="25"/>
        <v>0</v>
      </c>
      <c r="AE81" s="40">
        <f t="shared" si="26"/>
        <v>852.203625</v>
      </c>
      <c r="AF81" s="40">
        <f t="shared" si="27"/>
        <v>1988.475125</v>
      </c>
      <c r="AG81" s="51">
        <v>13</v>
      </c>
      <c r="AH81" s="41" t="s">
        <v>49</v>
      </c>
      <c r="AI81" s="59" t="s">
        <v>181</v>
      </c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</row>
    <row r="82" spans="2:93" s="34" customFormat="1" ht="36" thickBot="1" thickTop="1">
      <c r="B82" s="20">
        <v>19</v>
      </c>
      <c r="C82" s="55">
        <v>15298</v>
      </c>
      <c r="D82" s="55" t="s">
        <v>24</v>
      </c>
      <c r="E82" s="55">
        <v>3</v>
      </c>
      <c r="F82" s="38" t="s">
        <v>172</v>
      </c>
      <c r="G82" s="79">
        <v>0</v>
      </c>
      <c r="H82" s="79">
        <v>1</v>
      </c>
      <c r="I82" s="79">
        <v>0</v>
      </c>
      <c r="J82" s="79">
        <v>1</v>
      </c>
      <c r="K82" s="79">
        <v>0</v>
      </c>
      <c r="L82" s="79">
        <v>5</v>
      </c>
      <c r="M82" s="79">
        <v>1</v>
      </c>
      <c r="N82" s="79">
        <v>1</v>
      </c>
      <c r="O82" s="79">
        <v>0</v>
      </c>
      <c r="P82" s="79">
        <v>0</v>
      </c>
      <c r="Q82" s="79">
        <v>1</v>
      </c>
      <c r="R82" s="79">
        <v>0</v>
      </c>
      <c r="S82" s="79">
        <v>0</v>
      </c>
      <c r="T82" s="39">
        <v>13687.07</v>
      </c>
      <c r="U82" s="39"/>
      <c r="V82" s="39">
        <f>13748.98+3280-T82</f>
        <v>3341.91</v>
      </c>
      <c r="W82" s="39"/>
      <c r="X82" s="39"/>
      <c r="Y82" s="39"/>
      <c r="Z82" s="40">
        <f t="shared" si="21"/>
        <v>2037.089</v>
      </c>
      <c r="AA82" s="40">
        <f t="shared" si="22"/>
        <v>0</v>
      </c>
      <c r="AB82" s="40">
        <f t="shared" si="23"/>
        <v>0</v>
      </c>
      <c r="AC82" s="40">
        <f t="shared" si="24"/>
        <v>0</v>
      </c>
      <c r="AD82" s="40">
        <f t="shared" si="25"/>
        <v>0</v>
      </c>
      <c r="AE82" s="40">
        <f t="shared" si="26"/>
        <v>0</v>
      </c>
      <c r="AF82" s="40">
        <f t="shared" si="27"/>
        <v>2037.089</v>
      </c>
      <c r="AG82" s="70">
        <v>17</v>
      </c>
      <c r="AH82" s="58" t="s">
        <v>71</v>
      </c>
      <c r="AI82" s="59" t="s">
        <v>181</v>
      </c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</row>
    <row r="83" spans="2:93" s="34" customFormat="1" ht="36" thickBot="1" thickTop="1">
      <c r="B83" s="20">
        <v>20</v>
      </c>
      <c r="C83" s="36">
        <v>15202</v>
      </c>
      <c r="D83" s="36" t="s">
        <v>27</v>
      </c>
      <c r="E83" s="36">
        <v>3</v>
      </c>
      <c r="F83" s="36" t="s">
        <v>152</v>
      </c>
      <c r="G83" s="37">
        <v>0</v>
      </c>
      <c r="H83" s="37">
        <v>1</v>
      </c>
      <c r="I83" s="55">
        <v>1</v>
      </c>
      <c r="J83" s="37">
        <v>1</v>
      </c>
      <c r="K83" s="38">
        <v>0</v>
      </c>
      <c r="L83" s="38">
        <v>4</v>
      </c>
      <c r="M83" s="54">
        <v>1</v>
      </c>
      <c r="N83" s="37">
        <v>1</v>
      </c>
      <c r="O83" s="37">
        <v>0</v>
      </c>
      <c r="P83" s="37">
        <v>0</v>
      </c>
      <c r="Q83" s="36">
        <v>0</v>
      </c>
      <c r="R83" s="37">
        <v>0</v>
      </c>
      <c r="S83" s="37">
        <v>0</v>
      </c>
      <c r="T83" s="39">
        <v>1193.4</v>
      </c>
      <c r="U83" s="39"/>
      <c r="V83" s="39">
        <f>8880+3500-T83</f>
        <v>11186.6</v>
      </c>
      <c r="W83" s="39"/>
      <c r="X83" s="39"/>
      <c r="Y83" s="39"/>
      <c r="Z83" s="40">
        <f t="shared" si="21"/>
        <v>2945.8250000000003</v>
      </c>
      <c r="AA83" s="40">
        <f t="shared" si="22"/>
        <v>0</v>
      </c>
      <c r="AB83" s="40">
        <f t="shared" si="23"/>
        <v>0</v>
      </c>
      <c r="AC83" s="40">
        <f t="shared" si="24"/>
        <v>0</v>
      </c>
      <c r="AD83" s="40">
        <f t="shared" si="25"/>
        <v>0</v>
      </c>
      <c r="AE83" s="40">
        <f t="shared" si="26"/>
        <v>883.7475000000001</v>
      </c>
      <c r="AF83" s="40">
        <f t="shared" si="27"/>
        <v>2062.0775000000003</v>
      </c>
      <c r="AG83" s="70">
        <v>12</v>
      </c>
      <c r="AH83" s="58" t="s">
        <v>47</v>
      </c>
      <c r="AI83" s="59" t="s">
        <v>181</v>
      </c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</row>
    <row r="84" spans="2:93" s="34" customFormat="1" ht="36" thickBot="1" thickTop="1">
      <c r="B84" s="20">
        <v>21</v>
      </c>
      <c r="C84" s="36">
        <v>15189</v>
      </c>
      <c r="D84" s="36" t="s">
        <v>27</v>
      </c>
      <c r="E84" s="36">
        <v>3</v>
      </c>
      <c r="F84" s="36" t="s">
        <v>90</v>
      </c>
      <c r="G84" s="54">
        <v>0</v>
      </c>
      <c r="H84" s="37">
        <v>1</v>
      </c>
      <c r="I84" s="37">
        <v>1</v>
      </c>
      <c r="J84" s="37">
        <v>0</v>
      </c>
      <c r="K84" s="54">
        <v>0</v>
      </c>
      <c r="L84" s="54">
        <v>4</v>
      </c>
      <c r="M84" s="37">
        <v>1</v>
      </c>
      <c r="N84" s="37">
        <v>1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69">
        <f>6777.5+1962</f>
        <v>8739.5</v>
      </c>
      <c r="U84" s="69"/>
      <c r="V84" s="69">
        <f>10297.5+5870-T84</f>
        <v>7428</v>
      </c>
      <c r="W84" s="69"/>
      <c r="X84" s="69"/>
      <c r="Y84" s="69"/>
      <c r="Z84" s="40">
        <f t="shared" si="21"/>
        <v>2949.4375</v>
      </c>
      <c r="AA84" s="40">
        <f t="shared" si="22"/>
        <v>0</v>
      </c>
      <c r="AB84" s="40">
        <f t="shared" si="23"/>
        <v>0</v>
      </c>
      <c r="AC84" s="40">
        <f t="shared" si="24"/>
        <v>0</v>
      </c>
      <c r="AD84" s="40">
        <f t="shared" si="25"/>
        <v>0</v>
      </c>
      <c r="AE84" s="40">
        <f t="shared" si="26"/>
        <v>884.83125</v>
      </c>
      <c r="AF84" s="40">
        <f t="shared" si="27"/>
        <v>2064.60625</v>
      </c>
      <c r="AG84" s="70">
        <v>10</v>
      </c>
      <c r="AH84" s="58" t="s">
        <v>28</v>
      </c>
      <c r="AI84" s="59" t="s">
        <v>181</v>
      </c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</row>
    <row r="85" spans="2:93" s="34" customFormat="1" ht="36" thickBot="1" thickTop="1">
      <c r="B85" s="20">
        <v>22</v>
      </c>
      <c r="C85" s="55">
        <v>15289</v>
      </c>
      <c r="D85" s="55" t="s">
        <v>24</v>
      </c>
      <c r="E85" s="55">
        <v>3</v>
      </c>
      <c r="F85" s="38" t="s">
        <v>156</v>
      </c>
      <c r="G85" s="38">
        <v>0</v>
      </c>
      <c r="H85" s="38">
        <v>1</v>
      </c>
      <c r="I85" s="38">
        <v>1</v>
      </c>
      <c r="J85" s="38">
        <v>1</v>
      </c>
      <c r="K85" s="38">
        <v>0</v>
      </c>
      <c r="L85" s="38">
        <v>3</v>
      </c>
      <c r="M85" s="38">
        <v>1</v>
      </c>
      <c r="N85" s="38">
        <v>1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9">
        <f>1894.35+200</f>
        <v>2094.35</v>
      </c>
      <c r="U85" s="39"/>
      <c r="V85" s="39">
        <f>6450+3650-T85</f>
        <v>8005.65</v>
      </c>
      <c r="W85" s="39"/>
      <c r="X85" s="39"/>
      <c r="Y85" s="39"/>
      <c r="Z85" s="40">
        <f t="shared" si="21"/>
        <v>3017.608333333333</v>
      </c>
      <c r="AA85" s="40">
        <f t="shared" si="22"/>
        <v>0</v>
      </c>
      <c r="AB85" s="40">
        <f t="shared" si="23"/>
        <v>0</v>
      </c>
      <c r="AC85" s="40">
        <f t="shared" si="24"/>
        <v>0</v>
      </c>
      <c r="AD85" s="40">
        <f t="shared" si="25"/>
        <v>0</v>
      </c>
      <c r="AE85" s="40">
        <f t="shared" si="26"/>
        <v>905.2824999999999</v>
      </c>
      <c r="AF85" s="40">
        <f t="shared" si="27"/>
        <v>2112.3258333333333</v>
      </c>
      <c r="AG85" s="51">
        <v>19</v>
      </c>
      <c r="AH85" s="58" t="s">
        <v>25</v>
      </c>
      <c r="AI85" s="59" t="s">
        <v>181</v>
      </c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</row>
    <row r="86" spans="2:93" s="34" customFormat="1" ht="36" thickBot="1" thickTop="1">
      <c r="B86" s="20">
        <v>23</v>
      </c>
      <c r="C86" s="36" t="s">
        <v>52</v>
      </c>
      <c r="D86" s="36" t="s">
        <v>27</v>
      </c>
      <c r="E86" s="36">
        <v>7</v>
      </c>
      <c r="F86" s="36" t="s">
        <v>116</v>
      </c>
      <c r="G86" s="75">
        <v>0</v>
      </c>
      <c r="H86" s="73">
        <v>1</v>
      </c>
      <c r="I86" s="73">
        <v>1</v>
      </c>
      <c r="J86" s="73">
        <v>1</v>
      </c>
      <c r="K86" s="75">
        <v>0</v>
      </c>
      <c r="L86" s="75">
        <v>4</v>
      </c>
      <c r="M86" s="73">
        <v>1</v>
      </c>
      <c r="N86" s="73">
        <v>1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  <c r="T86" s="76">
        <f>2038.75+1237.46</f>
        <v>3276.21</v>
      </c>
      <c r="U86" s="76"/>
      <c r="V86" s="76">
        <f>11320+2500-T86</f>
        <v>10543.79</v>
      </c>
      <c r="W86" s="76"/>
      <c r="X86" s="71"/>
      <c r="Y86" s="71"/>
      <c r="Z86" s="63">
        <f t="shared" si="21"/>
        <v>3045.47375</v>
      </c>
      <c r="AA86" s="63">
        <f t="shared" si="22"/>
        <v>0</v>
      </c>
      <c r="AB86" s="63">
        <f t="shared" si="23"/>
        <v>0</v>
      </c>
      <c r="AC86" s="63">
        <f t="shared" si="24"/>
        <v>0</v>
      </c>
      <c r="AD86" s="63">
        <f t="shared" si="25"/>
        <v>0</v>
      </c>
      <c r="AE86" s="63">
        <f t="shared" si="26"/>
        <v>913.642125</v>
      </c>
      <c r="AF86" s="63">
        <f t="shared" si="27"/>
        <v>2131.8316250000003</v>
      </c>
      <c r="AG86" s="57">
        <v>15</v>
      </c>
      <c r="AH86" s="66" t="s">
        <v>44</v>
      </c>
      <c r="AI86" s="59" t="s">
        <v>181</v>
      </c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</row>
    <row r="87" spans="2:93" s="34" customFormat="1" ht="36" thickBot="1" thickTop="1">
      <c r="B87" s="20">
        <v>24</v>
      </c>
      <c r="C87" s="36">
        <v>15114</v>
      </c>
      <c r="D87" s="36" t="s">
        <v>27</v>
      </c>
      <c r="E87" s="36">
        <v>5</v>
      </c>
      <c r="F87" s="36" t="s">
        <v>114</v>
      </c>
      <c r="G87" s="54">
        <v>0</v>
      </c>
      <c r="H87" s="37">
        <v>1</v>
      </c>
      <c r="I87" s="37">
        <v>0</v>
      </c>
      <c r="J87" s="37">
        <v>1</v>
      </c>
      <c r="K87" s="54">
        <v>0</v>
      </c>
      <c r="L87" s="54">
        <v>5</v>
      </c>
      <c r="M87" s="37">
        <v>1</v>
      </c>
      <c r="N87" s="37">
        <v>1</v>
      </c>
      <c r="O87" s="37">
        <v>0</v>
      </c>
      <c r="P87" s="37">
        <v>1</v>
      </c>
      <c r="Q87" s="37">
        <v>0</v>
      </c>
      <c r="R87" s="37">
        <v>0</v>
      </c>
      <c r="S87" s="37">
        <v>0</v>
      </c>
      <c r="T87" s="69">
        <f>14214.74+7403.49</f>
        <v>21618.23</v>
      </c>
      <c r="U87" s="69"/>
      <c r="V87" s="69"/>
      <c r="W87" s="69"/>
      <c r="X87" s="71"/>
      <c r="Y87" s="71"/>
      <c r="Z87" s="40">
        <f t="shared" si="21"/>
        <v>2161.823</v>
      </c>
      <c r="AA87" s="40">
        <f t="shared" si="22"/>
        <v>0</v>
      </c>
      <c r="AB87" s="40">
        <f t="shared" si="23"/>
        <v>0</v>
      </c>
      <c r="AC87" s="40">
        <f t="shared" si="24"/>
        <v>0</v>
      </c>
      <c r="AD87" s="40">
        <f t="shared" si="25"/>
        <v>0</v>
      </c>
      <c r="AE87" s="40">
        <f t="shared" si="26"/>
        <v>0</v>
      </c>
      <c r="AF87" s="40">
        <f t="shared" si="27"/>
        <v>2161.823</v>
      </c>
      <c r="AG87" s="57">
        <v>12</v>
      </c>
      <c r="AH87" s="41" t="s">
        <v>64</v>
      </c>
      <c r="AI87" s="59" t="s">
        <v>181</v>
      </c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</row>
    <row r="88" spans="2:93" s="34" customFormat="1" ht="36" thickBot="1" thickTop="1">
      <c r="B88" s="20">
        <v>25</v>
      </c>
      <c r="C88" s="36">
        <v>15224</v>
      </c>
      <c r="D88" s="36" t="s">
        <v>24</v>
      </c>
      <c r="E88" s="36">
        <v>3</v>
      </c>
      <c r="F88" s="36" t="s">
        <v>164</v>
      </c>
      <c r="G88" s="54">
        <v>0</v>
      </c>
      <c r="H88" s="37">
        <v>1</v>
      </c>
      <c r="I88" s="37">
        <v>0</v>
      </c>
      <c r="J88" s="37">
        <v>1</v>
      </c>
      <c r="K88" s="54">
        <v>0</v>
      </c>
      <c r="L88" s="54">
        <v>4</v>
      </c>
      <c r="M88" s="37">
        <v>1</v>
      </c>
      <c r="N88" s="37">
        <v>1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69">
        <v>10955.4</v>
      </c>
      <c r="U88" s="69">
        <v>71.68</v>
      </c>
      <c r="V88" s="69">
        <f>11746.7+2500-T88-U88</f>
        <v>3219.6200000000013</v>
      </c>
      <c r="W88" s="69"/>
      <c r="X88" s="69"/>
      <c r="Y88" s="69"/>
      <c r="Z88" s="40">
        <f t="shared" si="21"/>
        <v>2189.5620000000004</v>
      </c>
      <c r="AA88" s="40">
        <f t="shared" si="22"/>
        <v>0</v>
      </c>
      <c r="AB88" s="40">
        <f t="shared" si="23"/>
        <v>0</v>
      </c>
      <c r="AC88" s="40">
        <f t="shared" si="24"/>
        <v>0</v>
      </c>
      <c r="AD88" s="40">
        <f t="shared" si="25"/>
        <v>0</v>
      </c>
      <c r="AE88" s="40">
        <f t="shared" si="26"/>
        <v>0</v>
      </c>
      <c r="AF88" s="40">
        <f t="shared" si="27"/>
        <v>2189.5620000000004</v>
      </c>
      <c r="AG88" s="51">
        <v>17</v>
      </c>
      <c r="AH88" s="58" t="s">
        <v>25</v>
      </c>
      <c r="AI88" s="59" t="s">
        <v>181</v>
      </c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</row>
    <row r="89" spans="1:93" s="43" customFormat="1" ht="36" thickBot="1" thickTop="1">
      <c r="A89" s="35"/>
      <c r="B89" s="20">
        <v>26</v>
      </c>
      <c r="C89" s="36">
        <v>15282</v>
      </c>
      <c r="D89" s="36" t="s">
        <v>27</v>
      </c>
      <c r="E89" s="36">
        <v>3</v>
      </c>
      <c r="F89" s="36" t="s">
        <v>182</v>
      </c>
      <c r="G89" s="37">
        <v>0</v>
      </c>
      <c r="H89" s="37">
        <v>1</v>
      </c>
      <c r="I89" s="54">
        <v>0</v>
      </c>
      <c r="J89" s="37">
        <v>1</v>
      </c>
      <c r="K89" s="38">
        <v>1</v>
      </c>
      <c r="L89" s="38">
        <v>2</v>
      </c>
      <c r="M89" s="38">
        <v>1</v>
      </c>
      <c r="N89" s="37">
        <v>1</v>
      </c>
      <c r="O89" s="77">
        <v>0</v>
      </c>
      <c r="P89" s="37">
        <v>0</v>
      </c>
      <c r="Q89" s="37">
        <v>0</v>
      </c>
      <c r="R89" s="37">
        <v>0</v>
      </c>
      <c r="S89" s="55">
        <v>0</v>
      </c>
      <c r="T89" s="39">
        <v>9241.38</v>
      </c>
      <c r="U89" s="39"/>
      <c r="V89" s="39">
        <f>11693.33-T89</f>
        <v>2451.9500000000007</v>
      </c>
      <c r="W89" s="39"/>
      <c r="X89" s="39">
        <v>2267.45</v>
      </c>
      <c r="Y89" s="39">
        <v>0</v>
      </c>
      <c r="Z89" s="40">
        <f t="shared" si="21"/>
        <v>3536.32</v>
      </c>
      <c r="AA89" s="40">
        <f t="shared" si="22"/>
        <v>0</v>
      </c>
      <c r="AB89" s="40">
        <f t="shared" si="23"/>
        <v>707.2640000000001</v>
      </c>
      <c r="AC89" s="40">
        <f t="shared" si="24"/>
        <v>0</v>
      </c>
      <c r="AD89" s="40">
        <f t="shared" si="25"/>
        <v>0</v>
      </c>
      <c r="AE89" s="40">
        <f t="shared" si="26"/>
        <v>0</v>
      </c>
      <c r="AF89" s="40">
        <f t="shared" si="27"/>
        <v>2829.056</v>
      </c>
      <c r="AG89" s="51">
        <v>7</v>
      </c>
      <c r="AH89" s="41" t="s">
        <v>74</v>
      </c>
      <c r="AI89" s="59" t="s">
        <v>181</v>
      </c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</row>
    <row r="90" spans="2:93" s="34" customFormat="1" ht="36" thickBot="1" thickTop="1">
      <c r="B90" s="20">
        <v>27</v>
      </c>
      <c r="C90" s="55">
        <v>15273</v>
      </c>
      <c r="D90" s="55" t="s">
        <v>27</v>
      </c>
      <c r="E90" s="55">
        <v>3</v>
      </c>
      <c r="F90" s="38" t="s">
        <v>84</v>
      </c>
      <c r="G90" s="38">
        <v>0</v>
      </c>
      <c r="H90" s="38">
        <v>1</v>
      </c>
      <c r="I90" s="38">
        <v>1</v>
      </c>
      <c r="J90" s="38">
        <v>1</v>
      </c>
      <c r="K90" s="38">
        <v>0</v>
      </c>
      <c r="L90" s="38">
        <v>3</v>
      </c>
      <c r="M90" s="38">
        <v>1</v>
      </c>
      <c r="N90" s="38">
        <v>1</v>
      </c>
      <c r="O90" s="38">
        <v>0</v>
      </c>
      <c r="P90" s="38">
        <v>0</v>
      </c>
      <c r="Q90" s="38">
        <v>1</v>
      </c>
      <c r="R90" s="38">
        <v>0</v>
      </c>
      <c r="S90" s="38">
        <v>0</v>
      </c>
      <c r="T90" s="39">
        <v>11082.23</v>
      </c>
      <c r="U90" s="39"/>
      <c r="V90" s="39">
        <f>4500+13452-T90</f>
        <v>6869.77</v>
      </c>
      <c r="W90" s="39"/>
      <c r="X90" s="39"/>
      <c r="Y90" s="39"/>
      <c r="Z90" s="40">
        <f t="shared" si="21"/>
        <v>4136.961666666667</v>
      </c>
      <c r="AA90" s="40">
        <f t="shared" si="22"/>
        <v>0</v>
      </c>
      <c r="AB90" s="40">
        <f t="shared" si="23"/>
        <v>0</v>
      </c>
      <c r="AC90" s="40">
        <f t="shared" si="24"/>
        <v>0</v>
      </c>
      <c r="AD90" s="40">
        <f t="shared" si="25"/>
        <v>0</v>
      </c>
      <c r="AE90" s="40">
        <f t="shared" si="26"/>
        <v>1241.0885</v>
      </c>
      <c r="AF90" s="40">
        <f t="shared" si="27"/>
        <v>2895.873166666667</v>
      </c>
      <c r="AG90" s="51">
        <v>0</v>
      </c>
      <c r="AH90" s="41" t="s">
        <v>85</v>
      </c>
      <c r="AI90" s="59" t="s">
        <v>181</v>
      </c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</row>
    <row r="91" spans="1:93" s="31" customFormat="1" ht="36" thickBot="1" thickTop="1">
      <c r="A91" s="29"/>
      <c r="B91" s="20">
        <v>28</v>
      </c>
      <c r="C91" s="55">
        <v>15192</v>
      </c>
      <c r="D91" s="81" t="s">
        <v>27</v>
      </c>
      <c r="E91" s="55">
        <v>3</v>
      </c>
      <c r="F91" s="38" t="s">
        <v>157</v>
      </c>
      <c r="G91" s="38">
        <v>0</v>
      </c>
      <c r="H91" s="38">
        <v>1</v>
      </c>
      <c r="I91" s="38">
        <v>1</v>
      </c>
      <c r="J91" s="38">
        <v>1</v>
      </c>
      <c r="K91" s="38">
        <v>0</v>
      </c>
      <c r="L91" s="38">
        <v>4</v>
      </c>
      <c r="M91" s="38">
        <v>1</v>
      </c>
      <c r="N91" s="38">
        <v>1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9">
        <v>14988.56</v>
      </c>
      <c r="U91" s="39"/>
      <c r="V91" s="39">
        <f>20392.23+5622.5-T91</f>
        <v>11026.17</v>
      </c>
      <c r="W91" s="39"/>
      <c r="X91" s="39"/>
      <c r="Y91" s="39"/>
      <c r="Z91" s="40">
        <f t="shared" si="21"/>
        <v>4630.1125</v>
      </c>
      <c r="AA91" s="40">
        <f t="shared" si="22"/>
        <v>0</v>
      </c>
      <c r="AB91" s="40">
        <f t="shared" si="23"/>
        <v>0</v>
      </c>
      <c r="AC91" s="40">
        <f t="shared" si="24"/>
        <v>0</v>
      </c>
      <c r="AD91" s="40">
        <f t="shared" si="25"/>
        <v>0</v>
      </c>
      <c r="AE91" s="40">
        <f t="shared" si="26"/>
        <v>1389.03375</v>
      </c>
      <c r="AF91" s="40">
        <f t="shared" si="27"/>
        <v>3241.07875</v>
      </c>
      <c r="AG91" s="70">
        <v>10</v>
      </c>
      <c r="AH91" s="58" t="s">
        <v>74</v>
      </c>
      <c r="AI91" s="59" t="s">
        <v>181</v>
      </c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</row>
    <row r="92" spans="1:93" s="43" customFormat="1" ht="36" thickBot="1" thickTop="1">
      <c r="A92" s="35"/>
      <c r="B92" s="20">
        <v>29</v>
      </c>
      <c r="C92" s="55">
        <v>15181</v>
      </c>
      <c r="D92" s="55" t="s">
        <v>27</v>
      </c>
      <c r="E92" s="55">
        <v>3</v>
      </c>
      <c r="F92" s="38" t="s">
        <v>168</v>
      </c>
      <c r="G92" s="38">
        <v>0</v>
      </c>
      <c r="H92" s="38">
        <v>1</v>
      </c>
      <c r="I92" s="38">
        <v>0</v>
      </c>
      <c r="J92" s="38">
        <v>1</v>
      </c>
      <c r="K92" s="38">
        <v>0</v>
      </c>
      <c r="L92" s="38">
        <v>5</v>
      </c>
      <c r="M92" s="38">
        <v>1</v>
      </c>
      <c r="N92" s="38">
        <v>1</v>
      </c>
      <c r="O92" s="38">
        <v>0</v>
      </c>
      <c r="P92" s="38">
        <v>0</v>
      </c>
      <c r="Q92" s="38">
        <v>1</v>
      </c>
      <c r="R92" s="38">
        <v>0</v>
      </c>
      <c r="S92" s="38">
        <v>0</v>
      </c>
      <c r="T92" s="39">
        <v>12911.47</v>
      </c>
      <c r="U92" s="39"/>
      <c r="V92" s="39">
        <v>13122</v>
      </c>
      <c r="W92" s="39"/>
      <c r="X92" s="39"/>
      <c r="Y92" s="39"/>
      <c r="Z92" s="40">
        <f t="shared" si="21"/>
        <v>3915.547</v>
      </c>
      <c r="AA92" s="40">
        <f t="shared" si="22"/>
        <v>0</v>
      </c>
      <c r="AB92" s="40">
        <f t="shared" si="23"/>
        <v>0</v>
      </c>
      <c r="AC92" s="40">
        <f t="shared" si="24"/>
        <v>0</v>
      </c>
      <c r="AD92" s="40">
        <f t="shared" si="25"/>
        <v>0</v>
      </c>
      <c r="AE92" s="40">
        <f t="shared" si="26"/>
        <v>0</v>
      </c>
      <c r="AF92" s="40">
        <f t="shared" si="27"/>
        <v>3915.547</v>
      </c>
      <c r="AG92" s="70">
        <v>7</v>
      </c>
      <c r="AH92" s="80" t="s">
        <v>25</v>
      </c>
      <c r="AI92" s="59" t="s">
        <v>181</v>
      </c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</row>
    <row r="93" spans="2:93" s="34" customFormat="1" ht="18.75" thickTop="1">
      <c r="B93" s="126"/>
      <c r="C93" s="128"/>
      <c r="D93" s="128"/>
      <c r="E93" s="128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9"/>
      <c r="U93" s="129"/>
      <c r="V93" s="129"/>
      <c r="W93" s="129"/>
      <c r="X93" s="129"/>
      <c r="Y93" s="129"/>
      <c r="Z93" s="130"/>
      <c r="AA93" s="130"/>
      <c r="AB93" s="130"/>
      <c r="AC93" s="130"/>
      <c r="AD93" s="130"/>
      <c r="AE93" s="130"/>
      <c r="AF93" s="130"/>
      <c r="AG93" s="131"/>
      <c r="AH93" s="132"/>
      <c r="AI93" s="1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</row>
  </sheetData>
  <sheetProtection/>
  <autoFilter ref="A3:CO61"/>
  <printOptions horizontalCentered="1"/>
  <pageMargins left="0.35433070866141736" right="0.35433070866141736" top="0.7874015748031497" bottom="0.7874015748031497" header="0.5905511811023623" footer="0.5118110236220472"/>
  <pageSetup fitToHeight="0" fitToWidth="0" horizontalDpi="600" verticalDpi="600" orientation="landscape" paperSize="9" scale="75" r:id="rId1"/>
  <headerFooter alignWithMargins="0">
    <oddHeader>&amp;LΤΜΗΜΑ ΣΠΟΥΔΑΣΤΙΚΗΣ ΜΕΡΙΜΝΑΣ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userx</cp:lastModifiedBy>
  <cp:lastPrinted>2015-09-15T10:39:24Z</cp:lastPrinted>
  <dcterms:created xsi:type="dcterms:W3CDTF">2007-10-03T16:28:55Z</dcterms:created>
  <dcterms:modified xsi:type="dcterms:W3CDTF">2015-09-15T10:44:44Z</dcterms:modified>
  <cp:category/>
  <cp:version/>
  <cp:contentType/>
  <cp:contentStatus/>
</cp:coreProperties>
</file>